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2880" yWindow="92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10" i="1" l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BA46" i="1"/>
  <c r="BA47" i="1"/>
  <c r="BA48" i="1"/>
  <c r="BA49" i="1"/>
  <c r="BA50" i="1"/>
  <c r="BA51" i="1"/>
  <c r="BA52" i="1"/>
  <c r="BA53" i="1"/>
  <c r="BA54" i="1"/>
  <c r="BA55" i="1"/>
  <c r="BA56" i="1"/>
  <c r="BA57" i="1"/>
  <c r="BA58" i="1"/>
  <c r="BA59" i="1"/>
  <c r="BA60" i="1"/>
  <c r="BA45" i="1"/>
  <c r="AT48" i="1"/>
  <c r="AU48" i="1"/>
  <c r="AV48" i="1"/>
  <c r="AT49" i="1"/>
  <c r="AU49" i="1"/>
  <c r="AV49" i="1"/>
  <c r="AT50" i="1"/>
  <c r="AU50" i="1"/>
  <c r="AV50" i="1"/>
  <c r="AT51" i="1"/>
  <c r="AU51" i="1"/>
  <c r="AV51" i="1"/>
  <c r="AT52" i="1"/>
  <c r="AU52" i="1"/>
  <c r="AV52" i="1"/>
  <c r="AT53" i="1"/>
  <c r="AU53" i="1"/>
  <c r="AV53" i="1"/>
  <c r="AT54" i="1"/>
  <c r="AU54" i="1"/>
  <c r="AV54" i="1"/>
  <c r="AT55" i="1"/>
  <c r="AU55" i="1"/>
  <c r="AV55" i="1"/>
  <c r="AT56" i="1"/>
  <c r="AU56" i="1"/>
  <c r="AV56" i="1"/>
  <c r="AT57" i="1"/>
  <c r="AU57" i="1"/>
  <c r="AV57" i="1"/>
  <c r="AT58" i="1"/>
  <c r="AU58" i="1"/>
  <c r="AV58" i="1"/>
  <c r="AT59" i="1"/>
  <c r="AU59" i="1"/>
  <c r="AV59" i="1"/>
  <c r="AT60" i="1"/>
  <c r="AU60" i="1"/>
  <c r="AV60" i="1"/>
  <c r="AU47" i="1"/>
  <c r="AV47" i="1"/>
  <c r="AT47" i="1"/>
  <c r="AU46" i="1"/>
  <c r="AV46" i="1"/>
  <c r="AT46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47" i="1"/>
  <c r="AX45" i="1"/>
  <c r="AY45" i="1"/>
  <c r="AX46" i="1"/>
  <c r="AY46" i="1"/>
  <c r="AX47" i="1"/>
  <c r="AY47" i="1"/>
  <c r="AX48" i="1"/>
  <c r="AY48" i="1"/>
  <c r="AX49" i="1"/>
  <c r="AY49" i="1"/>
  <c r="AX50" i="1"/>
  <c r="AY50" i="1"/>
  <c r="AX51" i="1"/>
  <c r="AY51" i="1"/>
  <c r="AX52" i="1"/>
  <c r="AY52" i="1"/>
  <c r="AX53" i="1"/>
  <c r="AY53" i="1"/>
  <c r="AX54" i="1"/>
  <c r="AY54" i="1"/>
  <c r="AX55" i="1"/>
  <c r="AY55" i="1"/>
  <c r="AX56" i="1"/>
  <c r="AY56" i="1"/>
  <c r="AX57" i="1"/>
  <c r="AY57" i="1"/>
  <c r="AX58" i="1"/>
  <c r="AY58" i="1"/>
  <c r="AX59" i="1"/>
  <c r="AY59" i="1"/>
  <c r="AX60" i="1"/>
  <c r="AY60" i="1"/>
  <c r="AW46" i="1"/>
  <c r="AW47" i="1"/>
  <c r="AW48" i="1"/>
  <c r="AW49" i="1"/>
  <c r="AW50" i="1"/>
  <c r="AW51" i="1"/>
  <c r="AW52" i="1"/>
  <c r="AW53" i="1"/>
  <c r="AW54" i="1"/>
  <c r="AW55" i="1"/>
  <c r="AW56" i="1"/>
  <c r="AW57" i="1"/>
  <c r="AW58" i="1"/>
  <c r="AW59" i="1"/>
  <c r="AW60" i="1"/>
  <c r="AW45" i="1"/>
  <c r="AS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45" i="1"/>
  <c r="AT61" i="1"/>
  <c r="AU61" i="1"/>
  <c r="AV61" i="1"/>
  <c r="AT62" i="1"/>
  <c r="AU62" i="1"/>
  <c r="AV62" i="1"/>
  <c r="AT63" i="1"/>
  <c r="AU63" i="1"/>
  <c r="AV63" i="1"/>
  <c r="AT64" i="1"/>
  <c r="AU64" i="1"/>
  <c r="AV64" i="1"/>
  <c r="AT65" i="1"/>
  <c r="AU65" i="1"/>
  <c r="AV65" i="1"/>
  <c r="AT66" i="1"/>
  <c r="AU66" i="1"/>
  <c r="AV66" i="1"/>
  <c r="AT67" i="1"/>
  <c r="AU67" i="1"/>
  <c r="AV67" i="1"/>
  <c r="AT68" i="1"/>
  <c r="AU68" i="1"/>
  <c r="AV68" i="1"/>
  <c r="AT69" i="1"/>
  <c r="AU69" i="1"/>
  <c r="AV69" i="1"/>
  <c r="AT70" i="1"/>
  <c r="AU70" i="1"/>
  <c r="AV70" i="1"/>
  <c r="AT71" i="1"/>
  <c r="AU71" i="1"/>
  <c r="AV71" i="1"/>
  <c r="AT72" i="1"/>
  <c r="AU72" i="1"/>
  <c r="AV72" i="1"/>
  <c r="AT73" i="1"/>
  <c r="AU73" i="1"/>
  <c r="AV73" i="1"/>
  <c r="AT74" i="1"/>
  <c r="AU74" i="1"/>
  <c r="AV74" i="1"/>
  <c r="AT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R87" i="1"/>
  <c r="S87" i="1"/>
  <c r="R88" i="1"/>
  <c r="S88" i="1"/>
  <c r="R89" i="1"/>
  <c r="S89" i="1"/>
  <c r="R90" i="1"/>
  <c r="S90" i="1"/>
  <c r="R91" i="1"/>
  <c r="S91" i="1"/>
  <c r="S86" i="1"/>
  <c r="R86" i="1"/>
  <c r="O91" i="1"/>
  <c r="P91" i="1"/>
  <c r="Q91" i="1"/>
  <c r="N91" i="1"/>
  <c r="Q90" i="1"/>
  <c r="Q89" i="1"/>
  <c r="Q88" i="1"/>
  <c r="Q87" i="1"/>
  <c r="Q86" i="1"/>
  <c r="P90" i="1"/>
  <c r="P89" i="1"/>
  <c r="P88" i="1"/>
  <c r="P87" i="1"/>
  <c r="P86" i="1"/>
  <c r="O90" i="1"/>
  <c r="O89" i="1"/>
  <c r="O88" i="1"/>
  <c r="O87" i="1"/>
  <c r="O86" i="1"/>
  <c r="N90" i="1"/>
  <c r="N89" i="1"/>
  <c r="N88" i="1"/>
  <c r="N87" i="1"/>
  <c r="N86" i="1"/>
  <c r="R78" i="1"/>
  <c r="AH77" i="1"/>
  <c r="Q78" i="1"/>
  <c r="K78" i="1"/>
  <c r="AB78" i="1"/>
  <c r="AB77" i="1"/>
  <c r="Y78" i="1"/>
  <c r="Y77" i="1"/>
  <c r="AF79" i="1"/>
  <c r="AE78" i="1"/>
  <c r="AE77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K74" i="1"/>
  <c r="AK75" i="1"/>
  <c r="AK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61" i="1"/>
  <c r="AJ46" i="1"/>
  <c r="AK46" i="1"/>
  <c r="AJ47" i="1"/>
  <c r="AK47" i="1"/>
  <c r="AJ48" i="1"/>
  <c r="AK48" i="1"/>
  <c r="AJ49" i="1"/>
  <c r="AK49" i="1"/>
  <c r="AJ50" i="1"/>
  <c r="AK50" i="1"/>
  <c r="AJ51" i="1"/>
  <c r="AK51" i="1"/>
  <c r="AJ52" i="1"/>
  <c r="AK52" i="1"/>
  <c r="AJ53" i="1"/>
  <c r="AK53" i="1"/>
  <c r="AJ54" i="1"/>
  <c r="AK54" i="1"/>
  <c r="AJ55" i="1"/>
  <c r="AK55" i="1"/>
  <c r="AJ56" i="1"/>
  <c r="AK56" i="1"/>
  <c r="AJ57" i="1"/>
  <c r="AK57" i="1"/>
  <c r="AJ58" i="1"/>
  <c r="AK58" i="1"/>
  <c r="AJ59" i="1"/>
  <c r="AK59" i="1"/>
  <c r="AJ60" i="1"/>
  <c r="AK60" i="1"/>
  <c r="AK45" i="1"/>
  <c r="AJ45" i="1"/>
  <c r="AK44" i="1"/>
  <c r="AJ44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45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I74" i="1"/>
  <c r="AI75" i="1"/>
  <c r="AI44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63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44" i="1"/>
  <c r="AG44" i="1"/>
  <c r="AG64" i="1"/>
  <c r="AG65" i="1"/>
  <c r="AG66" i="1"/>
  <c r="AG67" i="1"/>
  <c r="AG68" i="1"/>
  <c r="AG69" i="1"/>
  <c r="AG70" i="1"/>
  <c r="AG71" i="1"/>
  <c r="AG72" i="1"/>
  <c r="AG73" i="1"/>
  <c r="AG74" i="1"/>
  <c r="AG75" i="1"/>
  <c r="AG63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D45" i="1"/>
  <c r="AE45" i="1"/>
  <c r="AF45" i="1"/>
  <c r="AD46" i="1"/>
  <c r="AE46" i="1"/>
  <c r="AF46" i="1"/>
  <c r="AD47" i="1"/>
  <c r="AE47" i="1"/>
  <c r="AF47" i="1"/>
  <c r="AD48" i="1"/>
  <c r="AE48" i="1"/>
  <c r="AF48" i="1"/>
  <c r="AD49" i="1"/>
  <c r="AE49" i="1"/>
  <c r="AF49" i="1"/>
  <c r="AD50" i="1"/>
  <c r="AE50" i="1"/>
  <c r="AF50" i="1"/>
  <c r="AD51" i="1"/>
  <c r="AE51" i="1"/>
  <c r="AF51" i="1"/>
  <c r="AD52" i="1"/>
  <c r="AE52" i="1"/>
  <c r="AF52" i="1"/>
  <c r="AD53" i="1"/>
  <c r="AE53" i="1"/>
  <c r="AF53" i="1"/>
  <c r="AD54" i="1"/>
  <c r="AE54" i="1"/>
  <c r="AF54" i="1"/>
  <c r="AD55" i="1"/>
  <c r="AE55" i="1"/>
  <c r="AF55" i="1"/>
  <c r="AD56" i="1"/>
  <c r="AE56" i="1"/>
  <c r="AF56" i="1"/>
  <c r="AD57" i="1"/>
  <c r="AE57" i="1"/>
  <c r="AF57" i="1"/>
  <c r="AD58" i="1"/>
  <c r="AE58" i="1"/>
  <c r="AF58" i="1"/>
  <c r="AD59" i="1"/>
  <c r="AE59" i="1"/>
  <c r="AF59" i="1"/>
  <c r="AD60" i="1"/>
  <c r="AE60" i="1"/>
  <c r="AF60" i="1"/>
  <c r="AD61" i="1"/>
  <c r="AE61" i="1"/>
  <c r="AF61" i="1"/>
  <c r="AD62" i="1"/>
  <c r="AE62" i="1"/>
  <c r="AF62" i="1"/>
  <c r="AD63" i="1"/>
  <c r="AE63" i="1"/>
  <c r="AF63" i="1"/>
  <c r="AD64" i="1"/>
  <c r="AE64" i="1"/>
  <c r="AF64" i="1"/>
  <c r="AD65" i="1"/>
  <c r="AE65" i="1"/>
  <c r="AF65" i="1"/>
  <c r="AD66" i="1"/>
  <c r="AE66" i="1"/>
  <c r="AF66" i="1"/>
  <c r="AD67" i="1"/>
  <c r="AE67" i="1"/>
  <c r="AF67" i="1"/>
  <c r="AD68" i="1"/>
  <c r="AE68" i="1"/>
  <c r="AF68" i="1"/>
  <c r="AD69" i="1"/>
  <c r="AE69" i="1"/>
  <c r="AF69" i="1"/>
  <c r="AD70" i="1"/>
  <c r="AE70" i="1"/>
  <c r="AF70" i="1"/>
  <c r="AD71" i="1"/>
  <c r="AE71" i="1"/>
  <c r="AF71" i="1"/>
  <c r="AD72" i="1"/>
  <c r="AE72" i="1"/>
  <c r="AF72" i="1"/>
  <c r="AD73" i="1"/>
  <c r="AE73" i="1"/>
  <c r="AF73" i="1"/>
  <c r="AD74" i="1"/>
  <c r="AE74" i="1"/>
  <c r="AF74" i="1"/>
  <c r="AD75" i="1"/>
  <c r="AE75" i="1"/>
  <c r="AF75" i="1"/>
  <c r="AE44" i="1"/>
  <c r="AF44" i="1"/>
  <c r="AD44" i="1"/>
  <c r="AC75" i="1"/>
  <c r="AC74" i="1"/>
  <c r="AC73" i="1"/>
  <c r="AC72" i="1"/>
  <c r="AC71" i="1"/>
  <c r="AC70" i="1"/>
  <c r="AC69" i="1"/>
  <c r="AC68" i="1"/>
  <c r="AC67" i="1"/>
  <c r="AC66" i="1"/>
  <c r="AC65" i="1"/>
  <c r="AC64" i="1"/>
  <c r="AC63" i="1"/>
  <c r="AC62" i="1"/>
  <c r="AC61" i="1"/>
  <c r="AC60" i="1"/>
  <c r="AC59" i="1"/>
  <c r="AC58" i="1"/>
  <c r="AC57" i="1"/>
  <c r="AC56" i="1"/>
  <c r="AC55" i="1"/>
  <c r="AC54" i="1"/>
  <c r="AC53" i="1"/>
  <c r="AC52" i="1"/>
  <c r="AC51" i="1"/>
  <c r="AC50" i="1"/>
  <c r="AC49" i="1"/>
  <c r="AC48" i="1"/>
  <c r="AC47" i="1"/>
  <c r="AC46" i="1"/>
  <c r="AC45" i="1"/>
  <c r="AC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44" i="1"/>
  <c r="M99" i="1"/>
  <c r="M100" i="1"/>
  <c r="M101" i="1"/>
  <c r="M98" i="1"/>
  <c r="C5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S22" i="1"/>
  <c r="S20" i="1"/>
  <c r="S21" i="1"/>
  <c r="S8" i="1"/>
  <c r="S9" i="1"/>
  <c r="S10" i="1"/>
  <c r="S11" i="1"/>
  <c r="S12" i="1"/>
  <c r="S13" i="1"/>
  <c r="S14" i="1"/>
  <c r="S15" i="1"/>
  <c r="S16" i="1"/>
  <c r="S17" i="1"/>
  <c r="S18" i="1"/>
  <c r="S19" i="1"/>
  <c r="S7" i="1"/>
  <c r="J7" i="1"/>
  <c r="B72" i="1"/>
  <c r="B68" i="1"/>
  <c r="B64" i="1"/>
  <c r="A72" i="1"/>
  <c r="A68" i="1"/>
  <c r="A64" i="1"/>
  <c r="J64" i="1"/>
  <c r="I49" i="1"/>
  <c r="I48" i="1"/>
  <c r="I47" i="1"/>
  <c r="G56" i="1"/>
  <c r="G55" i="1"/>
  <c r="G54" i="1"/>
  <c r="G53" i="1"/>
  <c r="G52" i="1"/>
  <c r="G51" i="1"/>
  <c r="G50" i="1"/>
  <c r="G49" i="1"/>
  <c r="G48" i="1"/>
  <c r="G47" i="1"/>
  <c r="I56" i="1"/>
  <c r="I55" i="1"/>
  <c r="I54" i="1"/>
  <c r="I53" i="1"/>
  <c r="I52" i="1"/>
  <c r="I51" i="1"/>
  <c r="I50" i="1"/>
  <c r="V99" i="1"/>
  <c r="V98" i="1"/>
  <c r="T100" i="1"/>
  <c r="T101" i="1"/>
  <c r="T98" i="1"/>
  <c r="T99" i="1"/>
  <c r="S99" i="1"/>
  <c r="S100" i="1"/>
  <c r="S101" i="1"/>
  <c r="S98" i="1"/>
  <c r="J97" i="1"/>
  <c r="J96" i="1"/>
  <c r="K94" i="1"/>
  <c r="K93" i="1"/>
  <c r="K92" i="1"/>
  <c r="K91" i="1"/>
  <c r="K90" i="1"/>
  <c r="K89" i="1"/>
  <c r="K88" i="1"/>
  <c r="K87" i="1"/>
  <c r="K86" i="1"/>
  <c r="L83" i="1"/>
  <c r="F83" i="1"/>
  <c r="T79" i="1"/>
  <c r="T74" i="1"/>
  <c r="T75" i="1"/>
  <c r="T76" i="1"/>
  <c r="S74" i="1"/>
  <c r="S75" i="1"/>
  <c r="S76" i="1"/>
  <c r="R74" i="1"/>
  <c r="R75" i="1"/>
  <c r="R76" i="1"/>
  <c r="Q80" i="1"/>
  <c r="Q79" i="1"/>
  <c r="N79" i="1"/>
  <c r="M79" i="1"/>
  <c r="H81" i="1"/>
  <c r="G79" i="1"/>
  <c r="K79" i="1"/>
  <c r="K80" i="1"/>
  <c r="D76" i="1"/>
  <c r="D75" i="1"/>
  <c r="D74" i="1"/>
  <c r="D73" i="1"/>
  <c r="C76" i="1"/>
  <c r="C75" i="1"/>
  <c r="C74" i="1"/>
  <c r="C73" i="1"/>
  <c r="C72" i="1"/>
  <c r="Q74" i="1"/>
  <c r="Q75" i="1"/>
  <c r="Q76" i="1"/>
  <c r="P74" i="1"/>
  <c r="P75" i="1"/>
  <c r="P76" i="1"/>
  <c r="O74" i="1"/>
  <c r="O75" i="1"/>
  <c r="O76" i="1"/>
  <c r="N74" i="1"/>
  <c r="N75" i="1"/>
  <c r="N76" i="1"/>
  <c r="M74" i="1"/>
  <c r="M75" i="1"/>
  <c r="M76" i="1"/>
  <c r="L76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47" i="1"/>
  <c r="K74" i="1"/>
  <c r="K75" i="1"/>
  <c r="K76" i="1"/>
  <c r="J74" i="1"/>
  <c r="J75" i="1"/>
  <c r="J76" i="1"/>
  <c r="I74" i="1"/>
  <c r="I75" i="1"/>
  <c r="I76" i="1"/>
  <c r="G74" i="1"/>
  <c r="G75" i="1"/>
  <c r="G76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47" i="1"/>
  <c r="H76" i="1"/>
  <c r="H74" i="1"/>
  <c r="H75" i="1"/>
  <c r="O41" i="1"/>
  <c r="J41" i="1"/>
  <c r="L35" i="1"/>
  <c r="L36" i="1"/>
  <c r="L37" i="1"/>
  <c r="J35" i="1"/>
  <c r="J36" i="1"/>
  <c r="J37" i="1"/>
  <c r="Q35" i="1"/>
  <c r="Q36" i="1"/>
  <c r="Q37" i="1"/>
  <c r="O35" i="1"/>
  <c r="O36" i="1"/>
  <c r="O37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N67" i="1"/>
  <c r="M47" i="1"/>
  <c r="O47" i="1"/>
  <c r="M48" i="1"/>
  <c r="O48" i="1"/>
  <c r="M49" i="1"/>
  <c r="O49" i="1"/>
  <c r="M50" i="1"/>
  <c r="O50" i="1"/>
  <c r="M51" i="1"/>
  <c r="O51" i="1"/>
  <c r="M52" i="1"/>
  <c r="O52" i="1"/>
  <c r="M53" i="1"/>
  <c r="O53" i="1"/>
  <c r="M54" i="1"/>
  <c r="O54" i="1"/>
  <c r="M55" i="1"/>
  <c r="O55" i="1"/>
  <c r="M56" i="1"/>
  <c r="O56" i="1"/>
  <c r="M57" i="1"/>
  <c r="O57" i="1"/>
  <c r="M58" i="1"/>
  <c r="O58" i="1"/>
  <c r="M59" i="1"/>
  <c r="O59" i="1"/>
  <c r="M60" i="1"/>
  <c r="O60" i="1"/>
  <c r="M61" i="1"/>
  <c r="O61" i="1"/>
  <c r="M62" i="1"/>
  <c r="O62" i="1"/>
  <c r="M63" i="1"/>
  <c r="O63" i="1"/>
  <c r="M64" i="1"/>
  <c r="O64" i="1"/>
  <c r="M65" i="1"/>
  <c r="O65" i="1"/>
  <c r="M66" i="1"/>
  <c r="O66" i="1"/>
  <c r="M67" i="1"/>
  <c r="O67" i="1"/>
  <c r="P67" i="1"/>
  <c r="Q67" i="1"/>
  <c r="Q29" i="1"/>
  <c r="N68" i="1"/>
  <c r="M68" i="1"/>
  <c r="O68" i="1"/>
  <c r="P68" i="1"/>
  <c r="Q68" i="1"/>
  <c r="Q30" i="1"/>
  <c r="N69" i="1"/>
  <c r="M69" i="1"/>
  <c r="O69" i="1"/>
  <c r="P69" i="1"/>
  <c r="Q69" i="1"/>
  <c r="Q31" i="1"/>
  <c r="N70" i="1"/>
  <c r="M70" i="1"/>
  <c r="O70" i="1"/>
  <c r="P70" i="1"/>
  <c r="Q70" i="1"/>
  <c r="Q32" i="1"/>
  <c r="N71" i="1"/>
  <c r="M71" i="1"/>
  <c r="O71" i="1"/>
  <c r="P71" i="1"/>
  <c r="Q71" i="1"/>
  <c r="Q33" i="1"/>
  <c r="N72" i="1"/>
  <c r="M72" i="1"/>
  <c r="O72" i="1"/>
  <c r="P72" i="1"/>
  <c r="Q72" i="1"/>
  <c r="Q34" i="1"/>
  <c r="N73" i="1"/>
  <c r="M73" i="1"/>
  <c r="O73" i="1"/>
  <c r="P73" i="1"/>
  <c r="Q73" i="1"/>
  <c r="N62" i="1"/>
  <c r="P62" i="1"/>
  <c r="Q62" i="1"/>
  <c r="N63" i="1"/>
  <c r="P63" i="1"/>
  <c r="Q63" i="1"/>
  <c r="N64" i="1"/>
  <c r="P64" i="1"/>
  <c r="Q64" i="1"/>
  <c r="N65" i="1"/>
  <c r="P65" i="1"/>
  <c r="Q65" i="1"/>
  <c r="N66" i="1"/>
  <c r="P66" i="1"/>
  <c r="Q66" i="1"/>
  <c r="D72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H62" i="1"/>
  <c r="G57" i="1"/>
  <c r="I57" i="1"/>
  <c r="G58" i="1"/>
  <c r="I58" i="1"/>
  <c r="G59" i="1"/>
  <c r="I59" i="1"/>
  <c r="G60" i="1"/>
  <c r="I60" i="1"/>
  <c r="G61" i="1"/>
  <c r="I61" i="1"/>
  <c r="G62" i="1"/>
  <c r="I62" i="1"/>
  <c r="J62" i="1"/>
  <c r="K62" i="1"/>
  <c r="L24" i="1"/>
  <c r="H63" i="1"/>
  <c r="G63" i="1"/>
  <c r="I63" i="1"/>
  <c r="J63" i="1"/>
  <c r="K63" i="1"/>
  <c r="L25" i="1"/>
  <c r="H64" i="1"/>
  <c r="G64" i="1"/>
  <c r="I64" i="1"/>
  <c r="K64" i="1"/>
  <c r="L26" i="1"/>
  <c r="H65" i="1"/>
  <c r="G65" i="1"/>
  <c r="I65" i="1"/>
  <c r="J65" i="1"/>
  <c r="K65" i="1"/>
  <c r="L27" i="1"/>
  <c r="H66" i="1"/>
  <c r="G66" i="1"/>
  <c r="I66" i="1"/>
  <c r="J66" i="1"/>
  <c r="K66" i="1"/>
  <c r="L28" i="1"/>
  <c r="H67" i="1"/>
  <c r="G67" i="1"/>
  <c r="I67" i="1"/>
  <c r="J67" i="1"/>
  <c r="K67" i="1"/>
  <c r="L29" i="1"/>
  <c r="H68" i="1"/>
  <c r="G68" i="1"/>
  <c r="I68" i="1"/>
  <c r="J68" i="1"/>
  <c r="K68" i="1"/>
  <c r="L30" i="1"/>
  <c r="H69" i="1"/>
  <c r="G69" i="1"/>
  <c r="I69" i="1"/>
  <c r="J69" i="1"/>
  <c r="K69" i="1"/>
  <c r="L31" i="1"/>
  <c r="H70" i="1"/>
  <c r="G70" i="1"/>
  <c r="I70" i="1"/>
  <c r="J70" i="1"/>
  <c r="K70" i="1"/>
  <c r="L32" i="1"/>
  <c r="H71" i="1"/>
  <c r="G71" i="1"/>
  <c r="I71" i="1"/>
  <c r="J71" i="1"/>
  <c r="K71" i="1"/>
  <c r="L33" i="1"/>
  <c r="H72" i="1"/>
  <c r="G72" i="1"/>
  <c r="I72" i="1"/>
  <c r="J72" i="1"/>
  <c r="K72" i="1"/>
  <c r="L34" i="1"/>
  <c r="H73" i="1"/>
  <c r="G73" i="1"/>
  <c r="I73" i="1"/>
  <c r="J73" i="1"/>
  <c r="K73" i="1"/>
  <c r="R73" i="1"/>
  <c r="S73" i="1"/>
  <c r="T73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L7" i="1"/>
  <c r="D71" i="1"/>
  <c r="D70" i="1"/>
  <c r="D69" i="1"/>
  <c r="D68" i="1"/>
  <c r="D67" i="1"/>
  <c r="D66" i="1"/>
  <c r="D65" i="1"/>
  <c r="D64" i="1"/>
  <c r="D63" i="1"/>
  <c r="D62" i="1"/>
  <c r="C71" i="1"/>
  <c r="C70" i="1"/>
  <c r="C69" i="1"/>
  <c r="C68" i="1"/>
  <c r="C67" i="1"/>
  <c r="C66" i="1"/>
  <c r="C65" i="1"/>
  <c r="C64" i="1"/>
  <c r="C63" i="1"/>
  <c r="C62" i="1"/>
  <c r="K104" i="1"/>
  <c r="K105" i="1"/>
  <c r="K106" i="1"/>
  <c r="K107" i="1"/>
  <c r="K108" i="1"/>
  <c r="K109" i="1"/>
  <c r="K110" i="1"/>
  <c r="K111" i="1"/>
  <c r="K103" i="1"/>
  <c r="H104" i="1"/>
  <c r="H105" i="1"/>
  <c r="H106" i="1"/>
  <c r="H107" i="1"/>
  <c r="H108" i="1"/>
  <c r="H109" i="1"/>
  <c r="H110" i="1"/>
  <c r="H111" i="1"/>
  <c r="H103" i="1"/>
  <c r="J104" i="1"/>
  <c r="J105" i="1"/>
  <c r="J106" i="1"/>
  <c r="J107" i="1"/>
  <c r="J108" i="1"/>
  <c r="J109" i="1"/>
  <c r="J110" i="1"/>
  <c r="J111" i="1"/>
  <c r="J103" i="1"/>
  <c r="I104" i="1"/>
  <c r="I105" i="1"/>
  <c r="I106" i="1"/>
  <c r="I107" i="1"/>
  <c r="I108" i="1"/>
  <c r="I109" i="1"/>
  <c r="I110" i="1"/>
  <c r="I111" i="1"/>
  <c r="I103" i="1"/>
  <c r="G104" i="1"/>
  <c r="G105" i="1"/>
  <c r="G106" i="1"/>
  <c r="G107" i="1"/>
  <c r="G108" i="1"/>
  <c r="G109" i="1"/>
  <c r="G110" i="1"/>
  <c r="G111" i="1"/>
  <c r="G103" i="1"/>
  <c r="F104" i="1"/>
  <c r="F105" i="1"/>
  <c r="F106" i="1"/>
  <c r="F107" i="1"/>
  <c r="F108" i="1"/>
  <c r="F109" i="1"/>
  <c r="F110" i="1"/>
  <c r="F111" i="1"/>
  <c r="F103" i="1"/>
  <c r="R72" i="1"/>
  <c r="S72" i="1"/>
  <c r="T72" i="1"/>
  <c r="R64" i="1"/>
  <c r="S64" i="1"/>
  <c r="T64" i="1"/>
  <c r="R65" i="1"/>
  <c r="S65" i="1"/>
  <c r="T65" i="1"/>
  <c r="R66" i="1"/>
  <c r="S66" i="1"/>
  <c r="T66" i="1"/>
  <c r="R67" i="1"/>
  <c r="S67" i="1"/>
  <c r="T67" i="1"/>
  <c r="R68" i="1"/>
  <c r="S68" i="1"/>
  <c r="T68" i="1"/>
  <c r="R69" i="1"/>
  <c r="S69" i="1"/>
  <c r="T69" i="1"/>
  <c r="R70" i="1"/>
  <c r="S70" i="1"/>
  <c r="T70" i="1"/>
  <c r="R71" i="1"/>
  <c r="S71" i="1"/>
  <c r="T71" i="1"/>
  <c r="Q83" i="1"/>
  <c r="K83" i="1"/>
  <c r="Q7" i="1"/>
  <c r="Q8" i="1"/>
  <c r="O8" i="1"/>
  <c r="O7" i="1"/>
  <c r="J8" i="1"/>
</calcChain>
</file>

<file path=xl/sharedStrings.xml><?xml version="1.0" encoding="utf-8"?>
<sst xmlns="http://schemas.openxmlformats.org/spreadsheetml/2006/main" count="112" uniqueCount="46">
  <si>
    <t>Year</t>
  </si>
  <si>
    <t>Quarter</t>
  </si>
  <si>
    <t>Draw Date</t>
  </si>
  <si>
    <t>Reported GAAP Net Worth</t>
  </si>
  <si>
    <t>Request Drawn</t>
  </si>
  <si>
    <t>Cumulative Drawn</t>
  </si>
  <si>
    <t>Freddie Mac</t>
  </si>
  <si>
    <t>Fannie Mae</t>
  </si>
  <si>
    <t>Dividend Pay Date</t>
  </si>
  <si>
    <t>Dividends Accrued</t>
  </si>
  <si>
    <t>Cumulative Dividends Paid</t>
  </si>
  <si>
    <t>3/31/20010</t>
  </si>
  <si>
    <t>Date</t>
  </si>
  <si>
    <t>Principal</t>
  </si>
  <si>
    <t>Interest</t>
  </si>
  <si>
    <t>Princ - Div</t>
  </si>
  <si>
    <t>Interest on P-D</t>
  </si>
  <si>
    <t>Cumulative Int</t>
  </si>
  <si>
    <t>Cumulative Div Paid</t>
  </si>
  <si>
    <t>DEBT IF REPAID =</t>
  </si>
  <si>
    <t>Dividend</t>
  </si>
  <si>
    <t>Loan Amount</t>
  </si>
  <si>
    <t>DEBT IF REPAID</t>
  </si>
  <si>
    <t>Loan Amount =</t>
  </si>
  <si>
    <t>Paid Back =</t>
  </si>
  <si>
    <t>Net Profit =</t>
  </si>
  <si>
    <t>GSEs</t>
  </si>
  <si>
    <t>ROI (w/ sweep) =</t>
  </si>
  <si>
    <t>ROI (no sweep) =</t>
  </si>
  <si>
    <t>Net Dividends</t>
  </si>
  <si>
    <t>Loan for Losses</t>
  </si>
  <si>
    <t>BOTH GSEs</t>
  </si>
  <si>
    <t>Dividends - Principal</t>
  </si>
  <si>
    <t>Both GSEs</t>
  </si>
  <si>
    <t>Loan w/o NWS</t>
  </si>
  <si>
    <t>Dividends</t>
  </si>
  <si>
    <t>TOTAL</t>
  </si>
  <si>
    <t>d P</t>
  </si>
  <si>
    <t>dP/dt</t>
  </si>
  <si>
    <t>dD/dt</t>
  </si>
  <si>
    <t>dL/dt</t>
  </si>
  <si>
    <t>% time</t>
  </si>
  <si>
    <t>% P</t>
  </si>
  <si>
    <t>% Div</t>
  </si>
  <si>
    <t>% Losses</t>
  </si>
  <si>
    <t>Calculate Interest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</si>
</sst>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5" formatCode="0.0%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trike/>
      <sz val="12"/>
      <color rgb="FFFF0000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57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right"/>
    </xf>
    <xf numFmtId="164" fontId="3" fillId="4" borderId="0" xfId="1" applyFont="1" applyFill="1" applyAlignment="1">
      <alignment horizontal="center"/>
    </xf>
    <xf numFmtId="164" fontId="3" fillId="4" borderId="0" xfId="1" applyNumberFormat="1" applyFont="1" applyFill="1" applyAlignment="1">
      <alignment horizontal="left"/>
    </xf>
    <xf numFmtId="164" fontId="3" fillId="4" borderId="0" xfId="1" applyFont="1" applyFill="1" applyAlignment="1">
      <alignment horizontal="right"/>
    </xf>
    <xf numFmtId="164" fontId="0" fillId="0" borderId="0" xfId="0" applyNumberFormat="1" applyAlignment="1">
      <alignment horizontal="center"/>
    </xf>
    <xf numFmtId="0" fontId="3" fillId="2" borderId="0" xfId="0" applyFont="1" applyFill="1"/>
    <xf numFmtId="0" fontId="6" fillId="0" borderId="0" xfId="0" applyFont="1"/>
    <xf numFmtId="0" fontId="0" fillId="0" borderId="0" xfId="0" applyAlignment="1">
      <alignment horizontal="right"/>
    </xf>
    <xf numFmtId="164" fontId="0" fillId="0" borderId="0" xfId="1" applyFont="1" applyAlignment="1">
      <alignment horizontal="center"/>
    </xf>
    <xf numFmtId="0" fontId="0" fillId="0" borderId="0" xfId="0" applyAlignment="1">
      <alignment horizontal="center" vertical="center"/>
    </xf>
    <xf numFmtId="164" fontId="3" fillId="0" borderId="0" xfId="1" applyFont="1" applyAlignment="1">
      <alignment horizontal="center"/>
    </xf>
    <xf numFmtId="0" fontId="0" fillId="0" borderId="1" xfId="0" applyBorder="1" applyAlignment="1">
      <alignment horizontal="right"/>
    </xf>
    <xf numFmtId="164" fontId="0" fillId="0" borderId="1" xfId="1" applyFont="1" applyBorder="1" applyAlignment="1">
      <alignment horizontal="center"/>
    </xf>
    <xf numFmtId="0" fontId="0" fillId="0" borderId="0" xfId="0" applyBorder="1" applyAlignment="1">
      <alignment horizontal="right"/>
    </xf>
    <xf numFmtId="164" fontId="0" fillId="0" borderId="0" xfId="1" applyFont="1" applyBorder="1" applyAlignment="1">
      <alignment horizontal="center"/>
    </xf>
    <xf numFmtId="0" fontId="0" fillId="0" borderId="2" xfId="0" applyBorder="1" applyAlignment="1">
      <alignment horizontal="right"/>
    </xf>
    <xf numFmtId="164" fontId="3" fillId="0" borderId="2" xfId="1" applyFont="1" applyBorder="1" applyAlignment="1">
      <alignment horizontal="center"/>
    </xf>
    <xf numFmtId="165" fontId="0" fillId="0" borderId="0" xfId="210" applyNumberFormat="1" applyFont="1" applyAlignment="1">
      <alignment horizontal="left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0" borderId="0" xfId="0" applyNumberFormat="1"/>
    <xf numFmtId="2" fontId="0" fillId="0" borderId="2" xfId="0" applyNumberFormat="1" applyBorder="1"/>
    <xf numFmtId="9" fontId="0" fillId="0" borderId="0" xfId="210" applyFont="1"/>
    <xf numFmtId="0" fontId="3" fillId="0" borderId="0" xfId="0" applyFont="1"/>
    <xf numFmtId="2" fontId="6" fillId="0" borderId="0" xfId="0" applyNumberFormat="1" applyFont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0" xfId="0" applyNumberFormat="1" applyFont="1" applyBorder="1"/>
    <xf numFmtId="2" fontId="6" fillId="0" borderId="5" xfId="0" applyNumberFormat="1" applyFont="1" applyBorder="1"/>
    <xf numFmtId="2" fontId="6" fillId="0" borderId="0" xfId="0" applyNumberFormat="1" applyFont="1"/>
    <xf numFmtId="2" fontId="0" fillId="0" borderId="0" xfId="210" applyNumberFormat="1" applyFont="1"/>
    <xf numFmtId="0" fontId="3" fillId="8" borderId="3" xfId="0" applyFont="1" applyFill="1" applyBorder="1" applyAlignment="1">
      <alignment horizontal="center"/>
    </xf>
    <xf numFmtId="0" fontId="3" fillId="8" borderId="0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0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center"/>
    </xf>
  </cellXfs>
  <cellStyles count="557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Normal" xfId="0" builtinId="0"/>
    <cellStyle name="Percent" xfId="210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95326098217986"/>
          <c:y val="0.0296127562642369"/>
          <c:w val="0.911870985288023"/>
          <c:h val="0.940774487471526"/>
        </c:manualLayout>
      </c:layout>
      <c:lineChart>
        <c:grouping val="standard"/>
        <c:varyColors val="0"/>
        <c:ser>
          <c:idx val="1"/>
          <c:order val="0"/>
          <c:marker>
            <c:symbol val="none"/>
          </c:marker>
          <c:val>
            <c:numRef>
              <c:f>Sheet1!$AT$45:$AT$60</c:f>
              <c:numCache>
                <c:formatCode>0.00</c:formatCode>
                <c:ptCount val="16"/>
                <c:pt idx="0">
                  <c:v>0.0</c:v>
                </c:pt>
                <c:pt idx="1">
                  <c:v>13.8</c:v>
                </c:pt>
                <c:pt idx="2">
                  <c:v>46.0</c:v>
                </c:pt>
                <c:pt idx="3">
                  <c:v>25.10000000000001</c:v>
                </c:pt>
                <c:pt idx="4">
                  <c:v>10.7</c:v>
                </c:pt>
                <c:pt idx="5">
                  <c:v>15.0</c:v>
                </c:pt>
                <c:pt idx="6">
                  <c:v>15.3</c:v>
                </c:pt>
                <c:pt idx="7">
                  <c:v>19.0</c:v>
                </c:pt>
                <c:pt idx="8">
                  <c:v>3.300000000000011</c:v>
                </c:pt>
                <c:pt idx="9">
                  <c:v>2.599999999999994</c:v>
                </c:pt>
                <c:pt idx="10">
                  <c:v>3.099999999999994</c:v>
                </c:pt>
                <c:pt idx="11">
                  <c:v>8.5</c:v>
                </c:pt>
                <c:pt idx="12">
                  <c:v>6.566000000000002</c:v>
                </c:pt>
                <c:pt idx="13">
                  <c:v>13.78300000000002</c:v>
                </c:pt>
                <c:pt idx="14">
                  <c:v>4.716999999999984</c:v>
                </c:pt>
                <c:pt idx="15">
                  <c:v>0.0190000000000055</c:v>
                </c:pt>
              </c:numCache>
            </c:numRef>
          </c:val>
          <c:smooth val="0"/>
        </c:ser>
        <c:ser>
          <c:idx val="0"/>
          <c:order val="1"/>
          <c:marker>
            <c:symbol val="none"/>
          </c:marker>
          <c:val>
            <c:numRef>
              <c:f>Sheet1!$AU$45:$AU$60</c:f>
              <c:numCache>
                <c:formatCode>0.00</c:formatCode>
                <c:ptCount val="16"/>
                <c:pt idx="0">
                  <c:v>0.0</c:v>
                </c:pt>
                <c:pt idx="1">
                  <c:v>0.204</c:v>
                </c:pt>
                <c:pt idx="2">
                  <c:v>0.395</c:v>
                </c:pt>
                <c:pt idx="3">
                  <c:v>1.558</c:v>
                </c:pt>
                <c:pt idx="4">
                  <c:v>2.179</c:v>
                </c:pt>
                <c:pt idx="5">
                  <c:v>2.443</c:v>
                </c:pt>
                <c:pt idx="6">
                  <c:v>2.82</c:v>
                </c:pt>
                <c:pt idx="7">
                  <c:v>3.202</c:v>
                </c:pt>
                <c:pt idx="8">
                  <c:v>3.677000000000001</c:v>
                </c:pt>
                <c:pt idx="9">
                  <c:v>3.756</c:v>
                </c:pt>
                <c:pt idx="10">
                  <c:v>3.820999999999998</c:v>
                </c:pt>
                <c:pt idx="11">
                  <c:v>3.899000000000001</c:v>
                </c:pt>
                <c:pt idx="12">
                  <c:v>4.113</c:v>
                </c:pt>
                <c:pt idx="13">
                  <c:v>4.276000000000003</c:v>
                </c:pt>
                <c:pt idx="14">
                  <c:v>4.626999999999995</c:v>
                </c:pt>
                <c:pt idx="15">
                  <c:v>4.739000000000004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val>
            <c:numRef>
              <c:f>Sheet1!$AV$45:$AV$60</c:f>
              <c:numCache>
                <c:formatCode>0.00</c:formatCode>
                <c:ptCount val="16"/>
                <c:pt idx="0">
                  <c:v>0.0</c:v>
                </c:pt>
                <c:pt idx="1">
                  <c:v>13.596</c:v>
                </c:pt>
                <c:pt idx="2">
                  <c:v>45.605</c:v>
                </c:pt>
                <c:pt idx="3">
                  <c:v>23.54199999999999</c:v>
                </c:pt>
                <c:pt idx="4">
                  <c:v>8.521000000000015</c:v>
                </c:pt>
                <c:pt idx="5">
                  <c:v>12.557</c:v>
                </c:pt>
                <c:pt idx="6">
                  <c:v>12.47999999999999</c:v>
                </c:pt>
                <c:pt idx="7">
                  <c:v>15.79800000000002</c:v>
                </c:pt>
                <c:pt idx="8">
                  <c:v>-0.377000000000009</c:v>
                </c:pt>
                <c:pt idx="9">
                  <c:v>-1.156000000000006</c:v>
                </c:pt>
                <c:pt idx="10">
                  <c:v>-0.721000000000004</c:v>
                </c:pt>
                <c:pt idx="11">
                  <c:v>4.600999999999999</c:v>
                </c:pt>
                <c:pt idx="12">
                  <c:v>2.453000000000003</c:v>
                </c:pt>
                <c:pt idx="13">
                  <c:v>9.507000000000005</c:v>
                </c:pt>
                <c:pt idx="14">
                  <c:v>0.0900000000000034</c:v>
                </c:pt>
                <c:pt idx="15">
                  <c:v>-4.719999999999999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8006024"/>
        <c:axId val="2073235096"/>
      </c:lineChart>
      <c:catAx>
        <c:axId val="20780060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73235096"/>
        <c:crosses val="autoZero"/>
        <c:auto val="1"/>
        <c:lblAlgn val="ctr"/>
        <c:lblOffset val="100"/>
        <c:noMultiLvlLbl val="0"/>
      </c:catAx>
      <c:valAx>
        <c:axId val="207323509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780060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26469384583506"/>
          <c:y val="0.271926174376267"/>
          <c:w val="0.100833246995441"/>
          <c:h val="0.13724086596237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marker>
            <c:symbol val="none"/>
          </c:marker>
          <c:cat>
            <c:numRef>
              <c:f>Sheet1!$AQ$45:$AQ$60</c:f>
              <c:numCache>
                <c:formatCode>0.00</c:formatCode>
                <c:ptCount val="16"/>
                <c:pt idx="0">
                  <c:v>0.0</c:v>
                </c:pt>
                <c:pt idx="1">
                  <c:v>0.0666666666666667</c:v>
                </c:pt>
                <c:pt idx="2">
                  <c:v>0.133333333333333</c:v>
                </c:pt>
                <c:pt idx="3">
                  <c:v>0.2</c:v>
                </c:pt>
                <c:pt idx="4">
                  <c:v>0.266666666666667</c:v>
                </c:pt>
                <c:pt idx="5">
                  <c:v>0.333333333333333</c:v>
                </c:pt>
                <c:pt idx="6">
                  <c:v>0.4</c:v>
                </c:pt>
                <c:pt idx="7">
                  <c:v>0.466666666666667</c:v>
                </c:pt>
                <c:pt idx="8">
                  <c:v>0.533333333333333</c:v>
                </c:pt>
                <c:pt idx="9">
                  <c:v>0.6</c:v>
                </c:pt>
                <c:pt idx="10">
                  <c:v>0.666666666666667</c:v>
                </c:pt>
                <c:pt idx="11">
                  <c:v>0.733333333333333</c:v>
                </c:pt>
                <c:pt idx="12">
                  <c:v>0.8</c:v>
                </c:pt>
                <c:pt idx="13">
                  <c:v>0.866666666666667</c:v>
                </c:pt>
                <c:pt idx="14">
                  <c:v>0.933333333333333</c:v>
                </c:pt>
                <c:pt idx="15">
                  <c:v>1.0</c:v>
                </c:pt>
              </c:numCache>
            </c:numRef>
          </c:cat>
          <c:val>
            <c:numRef>
              <c:f>Sheet1!$AW$45:$AW$60</c:f>
              <c:numCache>
                <c:formatCode>0.00</c:formatCode>
                <c:ptCount val="16"/>
                <c:pt idx="0">
                  <c:v>0.0736058884710777</c:v>
                </c:pt>
                <c:pt idx="1">
                  <c:v>0.0736058884710777</c:v>
                </c:pt>
                <c:pt idx="2">
                  <c:v>0.318958850041337</c:v>
                </c:pt>
                <c:pt idx="3">
                  <c:v>0.452836226898152</c:v>
                </c:pt>
                <c:pt idx="4">
                  <c:v>0.509907459263408</c:v>
                </c:pt>
                <c:pt idx="5">
                  <c:v>0.589913859775449</c:v>
                </c:pt>
                <c:pt idx="6">
                  <c:v>0.67152038829773</c:v>
                </c:pt>
                <c:pt idx="7">
                  <c:v>0.772861828946316</c:v>
                </c:pt>
                <c:pt idx="8">
                  <c:v>0.790463237058965</c:v>
                </c:pt>
                <c:pt idx="9">
                  <c:v>0.804331013147718</c:v>
                </c:pt>
                <c:pt idx="10">
                  <c:v>0.82086566925354</c:v>
                </c:pt>
                <c:pt idx="11">
                  <c:v>0.866202629543697</c:v>
                </c:pt>
                <c:pt idx="12">
                  <c:v>0.901224097927834</c:v>
                </c:pt>
                <c:pt idx="13">
                  <c:v>0.974739312478332</c:v>
                </c:pt>
                <c:pt idx="14">
                  <c:v>0.999898658559351</c:v>
                </c:pt>
                <c:pt idx="15">
                  <c:v>1.0</c:v>
                </c:pt>
              </c:numCache>
            </c:numRef>
          </c:val>
          <c:smooth val="0"/>
        </c:ser>
        <c:ser>
          <c:idx val="2"/>
          <c:order val="1"/>
          <c:marker>
            <c:symbol val="none"/>
          </c:marker>
          <c:cat>
            <c:numRef>
              <c:f>Sheet1!$AQ$45:$AQ$60</c:f>
              <c:numCache>
                <c:formatCode>0.00</c:formatCode>
                <c:ptCount val="16"/>
                <c:pt idx="0">
                  <c:v>0.0</c:v>
                </c:pt>
                <c:pt idx="1">
                  <c:v>0.0666666666666667</c:v>
                </c:pt>
                <c:pt idx="2">
                  <c:v>0.133333333333333</c:v>
                </c:pt>
                <c:pt idx="3">
                  <c:v>0.2</c:v>
                </c:pt>
                <c:pt idx="4">
                  <c:v>0.266666666666667</c:v>
                </c:pt>
                <c:pt idx="5">
                  <c:v>0.333333333333333</c:v>
                </c:pt>
                <c:pt idx="6">
                  <c:v>0.4</c:v>
                </c:pt>
                <c:pt idx="7">
                  <c:v>0.466666666666667</c:v>
                </c:pt>
                <c:pt idx="8">
                  <c:v>0.533333333333333</c:v>
                </c:pt>
                <c:pt idx="9">
                  <c:v>0.6</c:v>
                </c:pt>
                <c:pt idx="10">
                  <c:v>0.666666666666667</c:v>
                </c:pt>
                <c:pt idx="11">
                  <c:v>0.733333333333333</c:v>
                </c:pt>
                <c:pt idx="12">
                  <c:v>0.8</c:v>
                </c:pt>
                <c:pt idx="13">
                  <c:v>0.866666666666667</c:v>
                </c:pt>
                <c:pt idx="14">
                  <c:v>0.933333333333333</c:v>
                </c:pt>
                <c:pt idx="15">
                  <c:v>1.0</c:v>
                </c:pt>
              </c:numCache>
            </c:numRef>
          </c:cat>
          <c:val>
            <c:numRef>
              <c:f>Sheet1!$AX$45:$AX$60</c:f>
              <c:numCache>
                <c:formatCode>0.00</c:formatCode>
                <c:ptCount val="16"/>
                <c:pt idx="0">
                  <c:v>0.000262530355072305</c:v>
                </c:pt>
                <c:pt idx="1">
                  <c:v>0.00446301603622919</c:v>
                </c:pt>
                <c:pt idx="2">
                  <c:v>0.0131046402240259</c:v>
                </c:pt>
                <c:pt idx="3">
                  <c:v>0.0471898313242469</c:v>
                </c:pt>
                <c:pt idx="4">
                  <c:v>0.0948609682994596</c:v>
                </c:pt>
                <c:pt idx="5">
                  <c:v>0.148307773086263</c:v>
                </c:pt>
                <c:pt idx="6">
                  <c:v>0.210002406528255</c:v>
                </c:pt>
                <c:pt idx="7">
                  <c:v>0.280054256273382</c:v>
                </c:pt>
                <c:pt idx="8">
                  <c:v>0.360497932573454</c:v>
                </c:pt>
                <c:pt idx="9">
                  <c:v>0.442669933711085</c:v>
                </c:pt>
                <c:pt idx="10">
                  <c:v>0.526263974272025</c:v>
                </c:pt>
                <c:pt idx="11">
                  <c:v>0.611564462140935</c:v>
                </c:pt>
                <c:pt idx="12">
                  <c:v>0.701546741341968</c:v>
                </c:pt>
                <c:pt idx="13">
                  <c:v>0.795095057866066</c:v>
                </c:pt>
                <c:pt idx="14">
                  <c:v>0.896322387276029</c:v>
                </c:pt>
                <c:pt idx="15">
                  <c:v>1.0</c:v>
                </c:pt>
              </c:numCache>
            </c:numRef>
          </c:val>
          <c:smooth val="0"/>
        </c:ser>
        <c:ser>
          <c:idx val="3"/>
          <c:order val="2"/>
          <c:marker>
            <c:symbol val="none"/>
          </c:marker>
          <c:cat>
            <c:numRef>
              <c:f>Sheet1!$AQ$45:$AQ$60</c:f>
              <c:numCache>
                <c:formatCode>0.00</c:formatCode>
                <c:ptCount val="16"/>
                <c:pt idx="0">
                  <c:v>0.0</c:v>
                </c:pt>
                <c:pt idx="1">
                  <c:v>0.0666666666666667</c:v>
                </c:pt>
                <c:pt idx="2">
                  <c:v>0.133333333333333</c:v>
                </c:pt>
                <c:pt idx="3">
                  <c:v>0.2</c:v>
                </c:pt>
                <c:pt idx="4">
                  <c:v>0.266666666666667</c:v>
                </c:pt>
                <c:pt idx="5">
                  <c:v>0.333333333333333</c:v>
                </c:pt>
                <c:pt idx="6">
                  <c:v>0.4</c:v>
                </c:pt>
                <c:pt idx="7">
                  <c:v>0.466666666666667</c:v>
                </c:pt>
                <c:pt idx="8">
                  <c:v>0.533333333333333</c:v>
                </c:pt>
                <c:pt idx="9">
                  <c:v>0.6</c:v>
                </c:pt>
                <c:pt idx="10">
                  <c:v>0.666666666666667</c:v>
                </c:pt>
                <c:pt idx="11">
                  <c:v>0.733333333333333</c:v>
                </c:pt>
                <c:pt idx="12">
                  <c:v>0.8</c:v>
                </c:pt>
                <c:pt idx="13">
                  <c:v>0.866666666666667</c:v>
                </c:pt>
                <c:pt idx="14">
                  <c:v>0.933333333333333</c:v>
                </c:pt>
                <c:pt idx="15">
                  <c:v>1.0</c:v>
                </c:pt>
              </c:numCache>
            </c:numRef>
          </c:cat>
          <c:val>
            <c:numRef>
              <c:f>Sheet1!$AY$45:$AY$60</c:f>
              <c:numCache>
                <c:formatCode>0.00</c:formatCode>
                <c:ptCount val="16"/>
                <c:pt idx="0">
                  <c:v>0.0972520031599142</c:v>
                </c:pt>
                <c:pt idx="1">
                  <c:v>0.0958977542038144</c:v>
                </c:pt>
                <c:pt idx="2">
                  <c:v>0.417567148177407</c:v>
                </c:pt>
                <c:pt idx="3">
                  <c:v>0.583617819659181</c:v>
                </c:pt>
                <c:pt idx="4">
                  <c:v>0.643719670466087</c:v>
                </c:pt>
                <c:pt idx="5">
                  <c:v>0.732288962871008</c:v>
                </c:pt>
                <c:pt idx="6">
                  <c:v>0.820315145017492</c:v>
                </c:pt>
                <c:pt idx="7">
                  <c:v>0.931744441936576</c:v>
                </c:pt>
                <c:pt idx="8">
                  <c:v>0.929085317684234</c:v>
                </c:pt>
                <c:pt idx="9">
                  <c:v>0.920931610427717</c:v>
                </c:pt>
                <c:pt idx="10">
                  <c:v>0.915846123462363</c:v>
                </c:pt>
                <c:pt idx="11">
                  <c:v>0.9482987247489</c:v>
                </c:pt>
                <c:pt idx="12">
                  <c:v>0.96560066583907</c:v>
                </c:pt>
                <c:pt idx="13">
                  <c:v>1.032657149305947</c:v>
                </c:pt>
                <c:pt idx="14">
                  <c:v>1.033291953504119</c:v>
                </c:pt>
                <c:pt idx="15">
                  <c:v>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8042584"/>
        <c:axId val="2078045560"/>
      </c:lineChart>
      <c:catAx>
        <c:axId val="20780425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crossAx val="2078045560"/>
        <c:crosses val="autoZero"/>
        <c:auto val="1"/>
        <c:lblAlgn val="ctr"/>
        <c:lblOffset val="100"/>
        <c:noMultiLvlLbl val="0"/>
      </c:catAx>
      <c:valAx>
        <c:axId val="207804556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780425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Sheet1!$U$7:$U$37</c:f>
              <c:numCache>
                <c:formatCode>m/d/yy</c:formatCode>
                <c:ptCount val="31"/>
                <c:pt idx="0">
                  <c:v>39776.0</c:v>
                </c:pt>
                <c:pt idx="1">
                  <c:v>39903.0</c:v>
                </c:pt>
                <c:pt idx="2">
                  <c:v>39994.0</c:v>
                </c:pt>
                <c:pt idx="3">
                  <c:v>40086.0</c:v>
                </c:pt>
                <c:pt idx="4">
                  <c:v>40178.0</c:v>
                </c:pt>
                <c:pt idx="5">
                  <c:v>40268.0</c:v>
                </c:pt>
                <c:pt idx="6">
                  <c:v>40359.0</c:v>
                </c:pt>
                <c:pt idx="7">
                  <c:v>40451.0</c:v>
                </c:pt>
                <c:pt idx="8">
                  <c:v>40542.0</c:v>
                </c:pt>
                <c:pt idx="9">
                  <c:v>40633.0</c:v>
                </c:pt>
                <c:pt idx="10">
                  <c:v>40724.0</c:v>
                </c:pt>
                <c:pt idx="11">
                  <c:v>40816.0</c:v>
                </c:pt>
                <c:pt idx="12">
                  <c:v>40907.0</c:v>
                </c:pt>
                <c:pt idx="13">
                  <c:v>40998.0</c:v>
                </c:pt>
                <c:pt idx="14">
                  <c:v>41090.0</c:v>
                </c:pt>
                <c:pt idx="15">
                  <c:v>41182.0</c:v>
                </c:pt>
                <c:pt idx="16">
                  <c:v>41273.0</c:v>
                </c:pt>
                <c:pt idx="17">
                  <c:v>41363.0</c:v>
                </c:pt>
                <c:pt idx="18">
                  <c:v>41455.0</c:v>
                </c:pt>
                <c:pt idx="19">
                  <c:v>41547.0</c:v>
                </c:pt>
                <c:pt idx="20">
                  <c:v>41638.0</c:v>
                </c:pt>
                <c:pt idx="21">
                  <c:v>41728.0</c:v>
                </c:pt>
                <c:pt idx="22">
                  <c:v>41820.0</c:v>
                </c:pt>
                <c:pt idx="23">
                  <c:v>41912.0</c:v>
                </c:pt>
                <c:pt idx="24">
                  <c:v>42004.0</c:v>
                </c:pt>
                <c:pt idx="25">
                  <c:v>42093.0</c:v>
                </c:pt>
                <c:pt idx="26">
                  <c:v>42185.0</c:v>
                </c:pt>
                <c:pt idx="27">
                  <c:v>42277.0</c:v>
                </c:pt>
                <c:pt idx="28">
                  <c:v>42369.0</c:v>
                </c:pt>
                <c:pt idx="29">
                  <c:v>42459.0</c:v>
                </c:pt>
                <c:pt idx="30">
                  <c:v>42551.0</c:v>
                </c:pt>
              </c:numCache>
            </c:numRef>
          </c:cat>
          <c:val>
            <c:numRef>
              <c:f>Sheet1!$V$7:$V$37</c:f>
              <c:numCache>
                <c:formatCode>General</c:formatCode>
                <c:ptCount val="31"/>
                <c:pt idx="2">
                  <c:v>11.16371583760571</c:v>
                </c:pt>
                <c:pt idx="3">
                  <c:v>10.71003479053687</c:v>
                </c:pt>
                <c:pt idx="4">
                  <c:v>10.60661006785009</c:v>
                </c:pt>
                <c:pt idx="5">
                  <c:v>10.59810113072925</c:v>
                </c:pt>
                <c:pt idx="6">
                  <c:v>10.59810113072925</c:v>
                </c:pt>
                <c:pt idx="7">
                  <c:v>10.59810113072925</c:v>
                </c:pt>
                <c:pt idx="8">
                  <c:v>10.5746589808926</c:v>
                </c:pt>
                <c:pt idx="9">
                  <c:v>10.55546944509807</c:v>
                </c:pt>
                <c:pt idx="10">
                  <c:v>10.55178181224703</c:v>
                </c:pt>
                <c:pt idx="11">
                  <c:v>10.5538278524929</c:v>
                </c:pt>
                <c:pt idx="12">
                  <c:v>10.5538278524929</c:v>
                </c:pt>
                <c:pt idx="13">
                  <c:v>10.55007588155958</c:v>
                </c:pt>
                <c:pt idx="14">
                  <c:v>10.55524732490392</c:v>
                </c:pt>
                <c:pt idx="15">
                  <c:v>10.53282056054881</c:v>
                </c:pt>
                <c:pt idx="16">
                  <c:v>10.5299090099084</c:v>
                </c:pt>
                <c:pt idx="17">
                  <c:v>10.5299090099084</c:v>
                </c:pt>
                <c:pt idx="18">
                  <c:v>36.8922585010802</c:v>
                </c:pt>
                <c:pt idx="19">
                  <c:v>45.20023859991087</c:v>
                </c:pt>
                <c:pt idx="20">
                  <c:v>26.76164274374082</c:v>
                </c:pt>
                <c:pt idx="21">
                  <c:v>314.2649808024718</c:v>
                </c:pt>
                <c:pt idx="22">
                  <c:v>72.64826606994047</c:v>
                </c:pt>
                <c:pt idx="23">
                  <c:v>27.71554173337591</c:v>
                </c:pt>
                <c:pt idx="24">
                  <c:v>11.02639294105285</c:v>
                </c:pt>
                <c:pt idx="25">
                  <c:v>16.56106373896538</c:v>
                </c:pt>
                <c:pt idx="26">
                  <c:v>4.857852557787057</c:v>
                </c:pt>
                <c:pt idx="27">
                  <c:v>4.249096097077686</c:v>
                </c:pt>
                <c:pt idx="28">
                  <c:v>23.81347616828828</c:v>
                </c:pt>
                <c:pt idx="29">
                  <c:v>0.0</c:v>
                </c:pt>
                <c:pt idx="30">
                  <c:v>9.878546355303697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numRef>
              <c:f>Sheet1!$U$7:$U$37</c:f>
              <c:numCache>
                <c:formatCode>m/d/yy</c:formatCode>
                <c:ptCount val="31"/>
                <c:pt idx="0">
                  <c:v>39776.0</c:v>
                </c:pt>
                <c:pt idx="1">
                  <c:v>39903.0</c:v>
                </c:pt>
                <c:pt idx="2">
                  <c:v>39994.0</c:v>
                </c:pt>
                <c:pt idx="3">
                  <c:v>40086.0</c:v>
                </c:pt>
                <c:pt idx="4">
                  <c:v>40178.0</c:v>
                </c:pt>
                <c:pt idx="5">
                  <c:v>40268.0</c:v>
                </c:pt>
                <c:pt idx="6">
                  <c:v>40359.0</c:v>
                </c:pt>
                <c:pt idx="7">
                  <c:v>40451.0</c:v>
                </c:pt>
                <c:pt idx="8">
                  <c:v>40542.0</c:v>
                </c:pt>
                <c:pt idx="9">
                  <c:v>40633.0</c:v>
                </c:pt>
                <c:pt idx="10">
                  <c:v>40724.0</c:v>
                </c:pt>
                <c:pt idx="11">
                  <c:v>40816.0</c:v>
                </c:pt>
                <c:pt idx="12">
                  <c:v>40907.0</c:v>
                </c:pt>
                <c:pt idx="13">
                  <c:v>40998.0</c:v>
                </c:pt>
                <c:pt idx="14">
                  <c:v>41090.0</c:v>
                </c:pt>
                <c:pt idx="15">
                  <c:v>41182.0</c:v>
                </c:pt>
                <c:pt idx="16">
                  <c:v>41273.0</c:v>
                </c:pt>
                <c:pt idx="17">
                  <c:v>41363.0</c:v>
                </c:pt>
                <c:pt idx="18">
                  <c:v>41455.0</c:v>
                </c:pt>
                <c:pt idx="19">
                  <c:v>41547.0</c:v>
                </c:pt>
                <c:pt idx="20">
                  <c:v>41638.0</c:v>
                </c:pt>
                <c:pt idx="21">
                  <c:v>41728.0</c:v>
                </c:pt>
                <c:pt idx="22">
                  <c:v>41820.0</c:v>
                </c:pt>
                <c:pt idx="23">
                  <c:v>41912.0</c:v>
                </c:pt>
                <c:pt idx="24">
                  <c:v>42004.0</c:v>
                </c:pt>
                <c:pt idx="25">
                  <c:v>42093.0</c:v>
                </c:pt>
                <c:pt idx="26">
                  <c:v>42185.0</c:v>
                </c:pt>
                <c:pt idx="27">
                  <c:v>42277.0</c:v>
                </c:pt>
                <c:pt idx="28">
                  <c:v>42369.0</c:v>
                </c:pt>
                <c:pt idx="29">
                  <c:v>42459.0</c:v>
                </c:pt>
                <c:pt idx="30">
                  <c:v>42551.0</c:v>
                </c:pt>
              </c:numCache>
            </c:numRef>
          </c:cat>
          <c:val>
            <c:numRef>
              <c:f>Sheet1!$W$7:$W$37</c:f>
              <c:numCache>
                <c:formatCode>General</c:formatCode>
                <c:ptCount val="31"/>
                <c:pt idx="3">
                  <c:v>11.20542409774206</c:v>
                </c:pt>
                <c:pt idx="4">
                  <c:v>10.75963075203992</c:v>
                </c:pt>
                <c:pt idx="5">
                  <c:v>10.64535183536039</c:v>
                </c:pt>
                <c:pt idx="6">
                  <c:v>10.59358406478481</c:v>
                </c:pt>
                <c:pt idx="7">
                  <c:v>10.54749894047775</c:v>
                </c:pt>
                <c:pt idx="8">
                  <c:v>10.52047467057529</c:v>
                </c:pt>
                <c:pt idx="9">
                  <c:v>10.51042069605874</c:v>
                </c:pt>
                <c:pt idx="10">
                  <c:v>10.50919463301143</c:v>
                </c:pt>
                <c:pt idx="11">
                  <c:v>10.50550622108044</c:v>
                </c:pt>
                <c:pt idx="12">
                  <c:v>10.50135621296901</c:v>
                </c:pt>
                <c:pt idx="13">
                  <c:v>10.49058857120502</c:v>
                </c:pt>
                <c:pt idx="14">
                  <c:v>10.49541354324823</c:v>
                </c:pt>
                <c:pt idx="15">
                  <c:v>10.48247731930802</c:v>
                </c:pt>
                <c:pt idx="16">
                  <c:v>10.47505510271756</c:v>
                </c:pt>
                <c:pt idx="17">
                  <c:v>10.47505510271756</c:v>
                </c:pt>
                <c:pt idx="18">
                  <c:v>15.35978484216851</c:v>
                </c:pt>
                <c:pt idx="19">
                  <c:v>421.452613605806</c:v>
                </c:pt>
                <c:pt idx="20">
                  <c:v>40.22209265896123</c:v>
                </c:pt>
                <c:pt idx="21">
                  <c:v>33.14446199645313</c:v>
                </c:pt>
                <c:pt idx="22">
                  <c:v>27.16098291345343</c:v>
                </c:pt>
                <c:pt idx="23">
                  <c:v>21.0910148455727</c:v>
                </c:pt>
                <c:pt idx="24">
                  <c:v>13.40956551787371</c:v>
                </c:pt>
                <c:pt idx="25">
                  <c:v>14.49968274855373</c:v>
                </c:pt>
                <c:pt idx="26">
                  <c:v>6.777964979438167</c:v>
                </c:pt>
                <c:pt idx="27">
                  <c:v>6.330104020612337</c:v>
                </c:pt>
                <c:pt idx="28">
                  <c:v>15.87816652289056</c:v>
                </c:pt>
                <c:pt idx="29">
                  <c:v>7.801754003922178</c:v>
                </c:pt>
                <c:pt idx="30">
                  <c:v>10.21551303652688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887592"/>
        <c:axId val="2079719704"/>
      </c:lineChart>
      <c:dateAx>
        <c:axId val="2075887592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crossAx val="2079719704"/>
        <c:crosses val="autoZero"/>
        <c:auto val="1"/>
        <c:lblOffset val="100"/>
        <c:baseTimeUnit val="months"/>
      </c:dateAx>
      <c:valAx>
        <c:axId val="2079719704"/>
        <c:scaling>
          <c:logBase val="10.0"/>
          <c:orientation val="minMax"/>
        </c:scaling>
        <c:delete val="0"/>
        <c:axPos val="l"/>
        <c:majorGridlines/>
        <c:numFmt formatCode="General" sourceLinked="1"/>
        <c:majorTickMark val="out"/>
        <c:minorTickMark val="out"/>
        <c:tickLblPos val="nextTo"/>
        <c:crossAx val="20758875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25400</xdr:colOff>
      <xdr:row>39</xdr:row>
      <xdr:rowOff>12700</xdr:rowOff>
    </xdr:from>
    <xdr:to>
      <xdr:col>62</xdr:col>
      <xdr:colOff>317500</xdr:colOff>
      <xdr:row>68</xdr:row>
      <xdr:rowOff>63500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53</xdr:col>
      <xdr:colOff>25400</xdr:colOff>
      <xdr:row>69</xdr:row>
      <xdr:rowOff>25400</xdr:rowOff>
    </xdr:from>
    <xdr:to>
      <xdr:col>62</xdr:col>
      <xdr:colOff>317500</xdr:colOff>
      <xdr:row>93</xdr:row>
      <xdr:rowOff>25400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673100</xdr:colOff>
      <xdr:row>5</xdr:row>
      <xdr:rowOff>165100</xdr:rowOff>
    </xdr:from>
    <xdr:to>
      <xdr:col>32</xdr:col>
      <xdr:colOff>38100</xdr:colOff>
      <xdr:row>35</xdr:row>
      <xdr:rowOff>139700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A111"/>
  <sheetViews>
    <sheetView tabSelected="1" topLeftCell="R5" workbookViewId="0">
      <selection activeCell="X24" sqref="X24"/>
    </sheetView>
  </sheetViews>
  <sheetFormatPr baseColWidth="10" defaultRowHeight="15" x14ac:dyDescent="0"/>
  <cols>
    <col min="3" max="3" width="11.5" bestFit="1" customWidth="1"/>
    <col min="4" max="4" width="14" style="1" bestFit="1" customWidth="1"/>
    <col min="5" max="6" width="10.83203125" style="1"/>
    <col min="7" max="7" width="16" style="1" bestFit="1" customWidth="1"/>
    <col min="8" max="8" width="23.33203125" style="1" bestFit="1" customWidth="1"/>
    <col min="9" max="9" width="15.1640625" style="1" bestFit="1" customWidth="1"/>
    <col min="10" max="10" width="16.5" style="1" bestFit="1" customWidth="1"/>
    <col min="11" max="11" width="16.6640625" style="1" bestFit="1" customWidth="1"/>
    <col min="12" max="13" width="23.33203125" style="1" bestFit="1" customWidth="1"/>
    <col min="14" max="14" width="17.83203125" style="1" bestFit="1" customWidth="1"/>
    <col min="15" max="15" width="16.5" style="1" bestFit="1" customWidth="1"/>
    <col min="16" max="16" width="16.6640625" style="1" bestFit="1" customWidth="1"/>
    <col min="17" max="17" width="23.33203125" style="1" bestFit="1" customWidth="1"/>
    <col min="23" max="23" width="16.33203125" bestFit="1" customWidth="1"/>
    <col min="25" max="25" width="12.6640625" bestFit="1" customWidth="1"/>
    <col min="26" max="26" width="13.6640625" bestFit="1" customWidth="1"/>
    <col min="27" max="27" width="12.1640625" bestFit="1" customWidth="1"/>
    <col min="29" max="29" width="13.6640625" bestFit="1" customWidth="1"/>
    <col min="31" max="31" width="12.6640625" bestFit="1" customWidth="1"/>
    <col min="32" max="33" width="13.6640625" bestFit="1" customWidth="1"/>
    <col min="34" max="35" width="17.6640625" bestFit="1" customWidth="1"/>
    <col min="36" max="38" width="18.1640625" bestFit="1" customWidth="1"/>
  </cols>
  <sheetData>
    <row r="5" spans="4:23">
      <c r="D5" s="3"/>
      <c r="E5" s="3"/>
      <c r="F5" s="3"/>
      <c r="G5" s="3"/>
      <c r="H5" s="52" t="s">
        <v>6</v>
      </c>
      <c r="I5" s="52"/>
      <c r="J5" s="52"/>
      <c r="K5" s="52"/>
      <c r="L5" s="52"/>
      <c r="M5" s="53" t="s">
        <v>7</v>
      </c>
      <c r="N5" s="53"/>
      <c r="O5" s="53"/>
      <c r="P5" s="53"/>
      <c r="Q5" s="53"/>
      <c r="V5" s="60" t="s">
        <v>45</v>
      </c>
      <c r="W5" s="60"/>
    </row>
    <row r="6" spans="4:23">
      <c r="D6" s="3" t="s">
        <v>0</v>
      </c>
      <c r="E6" s="3" t="s">
        <v>1</v>
      </c>
      <c r="F6" s="3" t="s">
        <v>2</v>
      </c>
      <c r="G6" s="3" t="s">
        <v>8</v>
      </c>
      <c r="H6" s="3" t="s">
        <v>3</v>
      </c>
      <c r="I6" s="3" t="s">
        <v>4</v>
      </c>
      <c r="J6" s="3" t="s">
        <v>5</v>
      </c>
      <c r="K6" s="3" t="s">
        <v>9</v>
      </c>
      <c r="L6" s="3" t="s">
        <v>10</v>
      </c>
      <c r="M6" s="3" t="s">
        <v>3</v>
      </c>
      <c r="N6" s="3" t="s">
        <v>4</v>
      </c>
      <c r="O6" s="3" t="s">
        <v>5</v>
      </c>
      <c r="P6" s="3" t="s">
        <v>9</v>
      </c>
      <c r="Q6" s="3" t="s">
        <v>10</v>
      </c>
      <c r="U6" s="3" t="s">
        <v>2</v>
      </c>
      <c r="V6" t="s">
        <v>6</v>
      </c>
      <c r="W6" t="s">
        <v>7</v>
      </c>
    </row>
    <row r="7" spans="4:23">
      <c r="D7" s="1">
        <v>2008</v>
      </c>
      <c r="E7" s="1">
        <v>3</v>
      </c>
      <c r="F7" s="2">
        <v>39776</v>
      </c>
      <c r="G7" s="2">
        <v>39721</v>
      </c>
      <c r="H7" s="1">
        <v>-13.7</v>
      </c>
      <c r="I7" s="1">
        <v>13.8</v>
      </c>
      <c r="J7" s="1">
        <f>I7</f>
        <v>13.8</v>
      </c>
      <c r="K7" s="1">
        <v>6.0000000000000001E-3</v>
      </c>
      <c r="L7" s="1">
        <f>K7</f>
        <v>6.0000000000000001E-3</v>
      </c>
      <c r="M7" s="1">
        <v>9.4</v>
      </c>
      <c r="N7" s="1">
        <v>0</v>
      </c>
      <c r="O7" s="1">
        <f>N7</f>
        <v>0</v>
      </c>
      <c r="P7" s="1">
        <v>6.0000000000000001E-3</v>
      </c>
      <c r="Q7" s="1">
        <f>P7</f>
        <v>6.0000000000000001E-3</v>
      </c>
      <c r="S7">
        <f>I7+N7</f>
        <v>13.8</v>
      </c>
      <c r="T7">
        <f>J7+O7</f>
        <v>13.8</v>
      </c>
      <c r="U7" s="2">
        <v>39776</v>
      </c>
    </row>
    <row r="8" spans="4:23">
      <c r="D8" s="1">
        <v>2008</v>
      </c>
      <c r="E8" s="1">
        <v>4</v>
      </c>
      <c r="F8" s="2">
        <v>39903</v>
      </c>
      <c r="G8" s="2">
        <v>39813</v>
      </c>
      <c r="H8" s="1">
        <v>-30.6</v>
      </c>
      <c r="I8" s="1">
        <v>30.8</v>
      </c>
      <c r="J8" s="1">
        <f>J7+I8</f>
        <v>44.6</v>
      </c>
      <c r="K8" s="1">
        <v>0.16700000000000001</v>
      </c>
      <c r="L8" s="1">
        <f t="shared" ref="L8:L17" si="0">L7+K8</f>
        <v>0.17300000000000001</v>
      </c>
      <c r="M8" s="1">
        <v>-15.2</v>
      </c>
      <c r="N8" s="1">
        <v>15.2</v>
      </c>
      <c r="O8" s="1">
        <f>O7+N8</f>
        <v>15.2</v>
      </c>
      <c r="P8" s="1">
        <v>2.5000000000000001E-2</v>
      </c>
      <c r="Q8" s="1">
        <f>Q7+P8</f>
        <v>3.1E-2</v>
      </c>
      <c r="S8">
        <f t="shared" ref="S8:T21" si="1">I8+N8</f>
        <v>46</v>
      </c>
      <c r="T8">
        <f t="shared" si="1"/>
        <v>59.8</v>
      </c>
      <c r="U8" s="2">
        <v>39903</v>
      </c>
    </row>
    <row r="9" spans="4:23">
      <c r="D9" s="1">
        <v>2009</v>
      </c>
      <c r="E9" s="1">
        <v>1</v>
      </c>
      <c r="F9" s="2">
        <v>39994</v>
      </c>
      <c r="G9" s="2">
        <v>39903</v>
      </c>
      <c r="H9" s="1">
        <v>-6</v>
      </c>
      <c r="I9" s="1">
        <v>6.1</v>
      </c>
      <c r="J9" s="1">
        <f t="shared" ref="J9:J32" si="2">J8+I9</f>
        <v>50.7</v>
      </c>
      <c r="K9" s="1">
        <v>0.37</v>
      </c>
      <c r="L9" s="1">
        <f t="shared" si="0"/>
        <v>0.54300000000000004</v>
      </c>
      <c r="M9" s="1">
        <v>-18.899999999999999</v>
      </c>
      <c r="N9" s="1">
        <v>19</v>
      </c>
      <c r="O9" s="1">
        <f t="shared" ref="O9:O37" si="3">O8+N9</f>
        <v>34.200000000000003</v>
      </c>
      <c r="P9" s="1">
        <v>2.5000000000000001E-2</v>
      </c>
      <c r="Q9" s="1">
        <f t="shared" ref="Q9:Q28" si="4">Q8+P9</f>
        <v>5.6000000000000001E-2</v>
      </c>
      <c r="S9">
        <f t="shared" si="1"/>
        <v>25.1</v>
      </c>
      <c r="T9">
        <f t="shared" si="1"/>
        <v>84.9</v>
      </c>
      <c r="U9" s="2">
        <v>39994</v>
      </c>
      <c r="V9">
        <f t="shared" ref="V7:V36" si="5">100*((1+K9/J7)^4-1)</f>
        <v>11.163715837605714</v>
      </c>
    </row>
    <row r="10" spans="4:23">
      <c r="D10" s="1">
        <v>2009</v>
      </c>
      <c r="E10" s="1">
        <v>2</v>
      </c>
      <c r="F10" s="2">
        <v>40086</v>
      </c>
      <c r="G10" s="2">
        <v>39994</v>
      </c>
      <c r="H10" s="1">
        <v>8.1999999999999993</v>
      </c>
      <c r="I10" s="1">
        <v>0</v>
      </c>
      <c r="J10" s="1">
        <f t="shared" si="2"/>
        <v>50.7</v>
      </c>
      <c r="K10" s="1">
        <v>1.149</v>
      </c>
      <c r="L10" s="1">
        <f t="shared" si="0"/>
        <v>1.6920000000000002</v>
      </c>
      <c r="M10" s="1">
        <v>-10.6</v>
      </c>
      <c r="N10" s="1">
        <v>10.7</v>
      </c>
      <c r="O10" s="1">
        <f t="shared" si="3"/>
        <v>44.900000000000006</v>
      </c>
      <c r="P10" s="1">
        <v>0.40899999999999997</v>
      </c>
      <c r="Q10" s="1">
        <f t="shared" si="4"/>
        <v>0.46499999999999997</v>
      </c>
      <c r="S10">
        <f t="shared" si="1"/>
        <v>10.7</v>
      </c>
      <c r="T10">
        <f t="shared" si="1"/>
        <v>95.600000000000009</v>
      </c>
      <c r="U10" s="2">
        <v>40086</v>
      </c>
      <c r="V10">
        <f t="shared" si="5"/>
        <v>10.71003479053687</v>
      </c>
      <c r="W10">
        <f t="shared" ref="W9:W36" si="6">100*((1+P10/O8)^4-1)</f>
        <v>11.205424097742057</v>
      </c>
    </row>
    <row r="11" spans="4:23">
      <c r="D11" s="1">
        <v>2009</v>
      </c>
      <c r="E11" s="1">
        <v>3</v>
      </c>
      <c r="F11" s="2">
        <v>40178</v>
      </c>
      <c r="G11" s="2">
        <v>40086</v>
      </c>
      <c r="H11" s="1">
        <v>10.4</v>
      </c>
      <c r="I11" s="1">
        <v>0</v>
      </c>
      <c r="J11" s="1">
        <f t="shared" si="2"/>
        <v>50.7</v>
      </c>
      <c r="K11" s="1">
        <v>1.294</v>
      </c>
      <c r="L11" s="1">
        <f t="shared" si="0"/>
        <v>2.9860000000000002</v>
      </c>
      <c r="M11" s="1">
        <v>-15</v>
      </c>
      <c r="N11" s="1">
        <v>15</v>
      </c>
      <c r="O11" s="1">
        <f t="shared" si="3"/>
        <v>59.900000000000006</v>
      </c>
      <c r="P11" s="1">
        <v>0.88500000000000001</v>
      </c>
      <c r="Q11" s="1">
        <f t="shared" si="4"/>
        <v>1.35</v>
      </c>
      <c r="S11">
        <f t="shared" si="1"/>
        <v>15</v>
      </c>
      <c r="T11">
        <f t="shared" si="1"/>
        <v>110.60000000000001</v>
      </c>
      <c r="U11" s="2">
        <v>40178</v>
      </c>
      <c r="V11">
        <f t="shared" si="5"/>
        <v>10.606610067850086</v>
      </c>
      <c r="W11">
        <f t="shared" si="6"/>
        <v>10.759630752039918</v>
      </c>
    </row>
    <row r="12" spans="4:23">
      <c r="D12" s="1">
        <v>2009</v>
      </c>
      <c r="E12" s="1">
        <v>4</v>
      </c>
      <c r="F12" s="2">
        <v>40268</v>
      </c>
      <c r="G12" s="2">
        <v>40178</v>
      </c>
      <c r="H12" s="1">
        <v>4.4000000000000004</v>
      </c>
      <c r="I12" s="1">
        <v>0</v>
      </c>
      <c r="J12" s="1">
        <f t="shared" si="2"/>
        <v>50.7</v>
      </c>
      <c r="K12" s="1">
        <v>1.2929999999999999</v>
      </c>
      <c r="L12" s="1">
        <f t="shared" si="0"/>
        <v>4.2789999999999999</v>
      </c>
      <c r="M12" s="1">
        <v>-15.3</v>
      </c>
      <c r="N12" s="1">
        <v>15.3</v>
      </c>
      <c r="O12" s="1">
        <f t="shared" si="3"/>
        <v>75.2</v>
      </c>
      <c r="P12" s="1">
        <v>1.1499999999999999</v>
      </c>
      <c r="Q12" s="1">
        <f t="shared" si="4"/>
        <v>2.5</v>
      </c>
      <c r="S12">
        <f t="shared" si="1"/>
        <v>15.3</v>
      </c>
      <c r="T12">
        <f t="shared" si="1"/>
        <v>125.9</v>
      </c>
      <c r="U12" s="2">
        <v>40268</v>
      </c>
      <c r="V12">
        <f t="shared" si="5"/>
        <v>10.598101130729255</v>
      </c>
      <c r="W12">
        <f t="shared" si="6"/>
        <v>10.645351835360394</v>
      </c>
    </row>
    <row r="13" spans="4:23">
      <c r="D13" s="1">
        <v>2010</v>
      </c>
      <c r="E13" s="1">
        <v>1</v>
      </c>
      <c r="F13" s="2">
        <v>40359</v>
      </c>
      <c r="G13" s="2" t="s">
        <v>11</v>
      </c>
      <c r="H13" s="1">
        <v>-10.5</v>
      </c>
      <c r="I13" s="1">
        <v>10.6</v>
      </c>
      <c r="J13" s="1">
        <f t="shared" si="2"/>
        <v>61.300000000000004</v>
      </c>
      <c r="K13" s="1">
        <v>1.2929999999999999</v>
      </c>
      <c r="L13" s="1">
        <f t="shared" si="0"/>
        <v>5.5720000000000001</v>
      </c>
      <c r="M13" s="1">
        <v>-8.4</v>
      </c>
      <c r="N13" s="1">
        <v>8.4</v>
      </c>
      <c r="O13" s="1">
        <f t="shared" si="3"/>
        <v>83.600000000000009</v>
      </c>
      <c r="P13" s="1">
        <v>1.5269999999999999</v>
      </c>
      <c r="Q13" s="1">
        <f t="shared" si="4"/>
        <v>4.0270000000000001</v>
      </c>
      <c r="S13">
        <f t="shared" si="1"/>
        <v>19</v>
      </c>
      <c r="T13">
        <f t="shared" si="1"/>
        <v>144.9</v>
      </c>
      <c r="U13" s="2">
        <v>40359</v>
      </c>
      <c r="V13">
        <f t="shared" si="5"/>
        <v>10.598101130729255</v>
      </c>
      <c r="W13">
        <f t="shared" si="6"/>
        <v>10.59358406478481</v>
      </c>
    </row>
    <row r="14" spans="4:23">
      <c r="D14" s="1">
        <v>2010</v>
      </c>
      <c r="E14" s="1">
        <v>2</v>
      </c>
      <c r="F14" s="2">
        <v>40451</v>
      </c>
      <c r="G14" s="2">
        <v>40359</v>
      </c>
      <c r="H14" s="1">
        <v>-1.7</v>
      </c>
      <c r="I14" s="1">
        <v>1.8</v>
      </c>
      <c r="J14" s="1">
        <f t="shared" si="2"/>
        <v>63.1</v>
      </c>
      <c r="K14" s="1">
        <v>1.2929999999999999</v>
      </c>
      <c r="L14" s="1">
        <f t="shared" si="0"/>
        <v>6.8650000000000002</v>
      </c>
      <c r="M14" s="1">
        <v>-1.4</v>
      </c>
      <c r="N14" s="1">
        <v>1.5</v>
      </c>
      <c r="O14" s="1">
        <f t="shared" si="3"/>
        <v>85.100000000000009</v>
      </c>
      <c r="P14" s="1">
        <v>1.909</v>
      </c>
      <c r="Q14" s="1">
        <f t="shared" si="4"/>
        <v>5.9359999999999999</v>
      </c>
      <c r="S14">
        <f t="shared" si="1"/>
        <v>3.3</v>
      </c>
      <c r="T14">
        <f t="shared" si="1"/>
        <v>148.20000000000002</v>
      </c>
      <c r="U14" s="2">
        <v>40451</v>
      </c>
      <c r="V14">
        <f t="shared" si="5"/>
        <v>10.598101130729255</v>
      </c>
      <c r="W14">
        <f t="shared" si="6"/>
        <v>10.547498940477752</v>
      </c>
    </row>
    <row r="15" spans="4:23">
      <c r="D15" s="1">
        <v>2010</v>
      </c>
      <c r="E15" s="1">
        <v>3</v>
      </c>
      <c r="F15" s="2">
        <v>40542</v>
      </c>
      <c r="G15" s="2">
        <v>40451</v>
      </c>
      <c r="H15" s="1">
        <v>-0.1</v>
      </c>
      <c r="I15" s="1">
        <v>0.1</v>
      </c>
      <c r="J15" s="1">
        <f t="shared" si="2"/>
        <v>63.2</v>
      </c>
      <c r="K15" s="1">
        <v>1.56</v>
      </c>
      <c r="L15" s="1">
        <f t="shared" si="0"/>
        <v>8.4250000000000007</v>
      </c>
      <c r="M15" s="1">
        <v>-2.4</v>
      </c>
      <c r="N15" s="1">
        <v>2.5</v>
      </c>
      <c r="O15" s="1">
        <f t="shared" si="3"/>
        <v>87.600000000000009</v>
      </c>
      <c r="P15" s="1">
        <v>2.117</v>
      </c>
      <c r="Q15" s="1">
        <f t="shared" si="4"/>
        <v>8.0530000000000008</v>
      </c>
      <c r="S15">
        <f t="shared" si="1"/>
        <v>2.6</v>
      </c>
      <c r="T15">
        <f t="shared" si="1"/>
        <v>150.80000000000001</v>
      </c>
      <c r="U15" s="2">
        <v>40542</v>
      </c>
      <c r="V15">
        <f t="shared" si="5"/>
        <v>10.574658980892604</v>
      </c>
      <c r="W15">
        <f t="shared" si="6"/>
        <v>10.520474670575286</v>
      </c>
    </row>
    <row r="16" spans="4:23">
      <c r="D16" s="1">
        <v>2010</v>
      </c>
      <c r="E16" s="1">
        <v>4</v>
      </c>
      <c r="F16" s="2">
        <v>40633</v>
      </c>
      <c r="G16" s="2">
        <v>40543</v>
      </c>
      <c r="H16" s="1">
        <v>-0.4</v>
      </c>
      <c r="I16" s="1">
        <v>0.5</v>
      </c>
      <c r="J16" s="1">
        <f t="shared" si="2"/>
        <v>63.7</v>
      </c>
      <c r="K16" s="1">
        <v>1.603</v>
      </c>
      <c r="L16" s="1">
        <f t="shared" si="0"/>
        <v>10.028</v>
      </c>
      <c r="M16" s="1">
        <v>-2.5</v>
      </c>
      <c r="N16" s="1">
        <v>2.6</v>
      </c>
      <c r="O16" s="1">
        <f t="shared" si="3"/>
        <v>90.2</v>
      </c>
      <c r="P16" s="1">
        <v>2.153</v>
      </c>
      <c r="Q16" s="1">
        <f t="shared" si="4"/>
        <v>10.206000000000001</v>
      </c>
      <c r="S16">
        <f t="shared" si="1"/>
        <v>3.1</v>
      </c>
      <c r="T16">
        <f t="shared" si="1"/>
        <v>153.9</v>
      </c>
      <c r="U16" s="2">
        <v>40633</v>
      </c>
      <c r="V16">
        <f t="shared" si="5"/>
        <v>10.555469445098066</v>
      </c>
      <c r="W16">
        <f t="shared" si="6"/>
        <v>10.510420696058741</v>
      </c>
    </row>
    <row r="17" spans="4:23">
      <c r="D17" s="1">
        <v>2011</v>
      </c>
      <c r="E17" s="1">
        <v>1</v>
      </c>
      <c r="F17" s="2">
        <v>40724</v>
      </c>
      <c r="G17" s="2">
        <v>40633</v>
      </c>
      <c r="H17" s="1">
        <v>1.2</v>
      </c>
      <c r="I17" s="1">
        <v>0</v>
      </c>
      <c r="J17" s="1">
        <f t="shared" si="2"/>
        <v>63.7</v>
      </c>
      <c r="K17" s="1">
        <v>1.605</v>
      </c>
      <c r="L17" s="1">
        <f t="shared" si="0"/>
        <v>11.633000000000001</v>
      </c>
      <c r="M17" s="1">
        <v>-8.4</v>
      </c>
      <c r="N17" s="1">
        <v>8.5</v>
      </c>
      <c r="O17" s="1">
        <f t="shared" si="3"/>
        <v>98.7</v>
      </c>
      <c r="P17" s="1">
        <v>2.2160000000000002</v>
      </c>
      <c r="Q17" s="1">
        <f t="shared" si="4"/>
        <v>12.422000000000001</v>
      </c>
      <c r="S17">
        <f t="shared" si="1"/>
        <v>8.5</v>
      </c>
      <c r="T17">
        <f t="shared" si="1"/>
        <v>162.4</v>
      </c>
      <c r="U17" s="2">
        <v>40724</v>
      </c>
      <c r="V17">
        <f t="shared" si="5"/>
        <v>10.551781812247029</v>
      </c>
      <c r="W17">
        <f t="shared" si="6"/>
        <v>10.509194633011433</v>
      </c>
    </row>
    <row r="18" spans="4:23">
      <c r="D18" s="1">
        <v>2011</v>
      </c>
      <c r="E18" s="1">
        <v>2</v>
      </c>
      <c r="F18" s="2">
        <v>40816</v>
      </c>
      <c r="G18" s="2">
        <v>40724</v>
      </c>
      <c r="H18" s="1">
        <v>-1.478</v>
      </c>
      <c r="I18" s="1">
        <v>1.4790000000000001</v>
      </c>
      <c r="J18" s="1">
        <f t="shared" si="2"/>
        <v>65.179000000000002</v>
      </c>
      <c r="K18" s="1">
        <v>1.6180000000000001</v>
      </c>
      <c r="L18" s="1">
        <f t="shared" ref="L18:L28" si="7">L17+K18</f>
        <v>13.251000000000001</v>
      </c>
      <c r="M18" s="1">
        <v>-5.0869999999999997</v>
      </c>
      <c r="N18" s="1">
        <v>5.0869999999999997</v>
      </c>
      <c r="O18" s="1">
        <f t="shared" si="3"/>
        <v>103.78700000000001</v>
      </c>
      <c r="P18" s="1">
        <v>2.2810000000000001</v>
      </c>
      <c r="Q18" s="1">
        <f t="shared" si="4"/>
        <v>14.703000000000001</v>
      </c>
      <c r="S18">
        <f t="shared" si="1"/>
        <v>6.5659999999999998</v>
      </c>
      <c r="T18">
        <f t="shared" si="1"/>
        <v>168.96600000000001</v>
      </c>
      <c r="U18" s="2">
        <v>40816</v>
      </c>
      <c r="V18">
        <f t="shared" si="5"/>
        <v>10.553827852492903</v>
      </c>
      <c r="W18">
        <f t="shared" si="6"/>
        <v>10.505506221080442</v>
      </c>
    </row>
    <row r="19" spans="4:23">
      <c r="D19" s="1">
        <v>2011</v>
      </c>
      <c r="E19" s="1">
        <v>3</v>
      </c>
      <c r="F19" s="2">
        <v>40907</v>
      </c>
      <c r="G19" s="2">
        <v>40816</v>
      </c>
      <c r="H19" s="1">
        <v>-5.9909999999999997</v>
      </c>
      <c r="I19" s="1">
        <v>5.992</v>
      </c>
      <c r="J19" s="1">
        <f t="shared" si="2"/>
        <v>71.171000000000006</v>
      </c>
      <c r="K19" s="1">
        <v>1.6180000000000001</v>
      </c>
      <c r="L19" s="1">
        <f t="shared" si="7"/>
        <v>14.869000000000002</v>
      </c>
      <c r="M19" s="1">
        <v>-7.7910000000000004</v>
      </c>
      <c r="N19" s="1">
        <v>7.7910000000000004</v>
      </c>
      <c r="O19" s="1">
        <f t="shared" si="3"/>
        <v>111.578</v>
      </c>
      <c r="P19" s="1">
        <v>2.4950000000000001</v>
      </c>
      <c r="Q19" s="1">
        <f t="shared" si="4"/>
        <v>17.198</v>
      </c>
      <c r="S19">
        <f t="shared" si="1"/>
        <v>13.783000000000001</v>
      </c>
      <c r="T19">
        <f t="shared" si="1"/>
        <v>182.74900000000002</v>
      </c>
      <c r="U19" s="2">
        <v>40907</v>
      </c>
      <c r="V19">
        <f t="shared" si="5"/>
        <v>10.553827852492903</v>
      </c>
      <c r="W19">
        <f t="shared" si="6"/>
        <v>10.501356212969014</v>
      </c>
    </row>
    <row r="20" spans="4:23">
      <c r="D20" s="1">
        <v>2011</v>
      </c>
      <c r="E20" s="1">
        <v>4</v>
      </c>
      <c r="F20" s="2">
        <v>40998</v>
      </c>
      <c r="G20" s="2">
        <v>40908</v>
      </c>
      <c r="H20" s="1">
        <v>-0.14599999999999999</v>
      </c>
      <c r="I20" s="1">
        <v>0.14599999999999999</v>
      </c>
      <c r="J20" s="1">
        <f t="shared" si="2"/>
        <v>71.317000000000007</v>
      </c>
      <c r="K20" s="1">
        <v>1.655</v>
      </c>
      <c r="L20" s="1">
        <f t="shared" si="7"/>
        <v>16.524000000000001</v>
      </c>
      <c r="M20" s="1">
        <v>-4.5709999999999997</v>
      </c>
      <c r="N20" s="1">
        <v>4.5709999999999997</v>
      </c>
      <c r="O20" s="1">
        <f t="shared" si="3"/>
        <v>116.149</v>
      </c>
      <c r="P20" s="1">
        <v>2.621</v>
      </c>
      <c r="Q20" s="1">
        <f t="shared" si="4"/>
        <v>19.818999999999999</v>
      </c>
      <c r="S20">
        <f>I20+N20</f>
        <v>4.7169999999999996</v>
      </c>
      <c r="T20">
        <f>J20+O20</f>
        <v>187.46600000000001</v>
      </c>
      <c r="U20" s="2">
        <v>40998</v>
      </c>
      <c r="V20">
        <f t="shared" si="5"/>
        <v>10.550075881559584</v>
      </c>
      <c r="W20">
        <f t="shared" si="6"/>
        <v>10.490588571205016</v>
      </c>
    </row>
    <row r="21" spans="4:23">
      <c r="D21" s="1">
        <v>2012</v>
      </c>
      <c r="E21" s="1">
        <v>1</v>
      </c>
      <c r="F21" s="2">
        <v>41090</v>
      </c>
      <c r="G21" s="2">
        <v>40999</v>
      </c>
      <c r="H21" s="1">
        <v>-1.9E-2</v>
      </c>
      <c r="I21" s="1">
        <v>1.9E-2</v>
      </c>
      <c r="J21" s="1">
        <f t="shared" si="2"/>
        <v>71.336000000000013</v>
      </c>
      <c r="K21" s="1">
        <v>1.8080000000000001</v>
      </c>
      <c r="L21" s="1">
        <f t="shared" si="7"/>
        <v>18.332000000000001</v>
      </c>
      <c r="M21" s="1">
        <v>0.26800000000000002</v>
      </c>
      <c r="N21" s="1">
        <v>0</v>
      </c>
      <c r="O21" s="1">
        <f t="shared" si="3"/>
        <v>116.149</v>
      </c>
      <c r="P21" s="1">
        <v>2.819</v>
      </c>
      <c r="Q21" s="1">
        <f t="shared" si="4"/>
        <v>22.637999999999998</v>
      </c>
      <c r="S21">
        <f t="shared" si="1"/>
        <v>1.9E-2</v>
      </c>
      <c r="T21">
        <f t="shared" si="1"/>
        <v>187.48500000000001</v>
      </c>
      <c r="U21" s="2">
        <v>41090</v>
      </c>
      <c r="V21">
        <f t="shared" si="5"/>
        <v>10.555247324903917</v>
      </c>
      <c r="W21">
        <f t="shared" si="6"/>
        <v>10.495413543248233</v>
      </c>
    </row>
    <row r="22" spans="4:23">
      <c r="D22" s="1">
        <v>2012</v>
      </c>
      <c r="E22" s="1">
        <v>2</v>
      </c>
      <c r="F22" s="2">
        <v>41182</v>
      </c>
      <c r="G22" s="2">
        <v>41090</v>
      </c>
      <c r="H22" s="1">
        <v>1.0860000000000001</v>
      </c>
      <c r="I22" s="1">
        <v>0</v>
      </c>
      <c r="J22" s="1">
        <f t="shared" si="2"/>
        <v>71.336000000000013</v>
      </c>
      <c r="K22" s="1">
        <v>1.8080000000000001</v>
      </c>
      <c r="L22" s="1">
        <f t="shared" si="7"/>
        <v>20.14</v>
      </c>
      <c r="M22" s="1">
        <v>2.77</v>
      </c>
      <c r="N22" s="1">
        <v>0</v>
      </c>
      <c r="O22" s="1">
        <f t="shared" si="3"/>
        <v>116.149</v>
      </c>
      <c r="P22" s="1">
        <v>2.931</v>
      </c>
      <c r="Q22" s="1">
        <f t="shared" si="4"/>
        <v>25.568999999999999</v>
      </c>
      <c r="S22">
        <f>I22+N22</f>
        <v>0</v>
      </c>
      <c r="T22">
        <f>J22+O22</f>
        <v>187.48500000000001</v>
      </c>
      <c r="U22" s="2">
        <v>41182</v>
      </c>
      <c r="V22">
        <f t="shared" si="5"/>
        <v>10.532820560548807</v>
      </c>
      <c r="W22">
        <f t="shared" si="6"/>
        <v>10.482477319308025</v>
      </c>
    </row>
    <row r="23" spans="4:23">
      <c r="D23" s="1">
        <v>2012</v>
      </c>
      <c r="E23" s="1">
        <v>3</v>
      </c>
      <c r="F23" s="2">
        <v>41273</v>
      </c>
      <c r="G23" s="2">
        <v>41182</v>
      </c>
      <c r="H23" s="1">
        <v>4.9059999999999997</v>
      </c>
      <c r="I23" s="1">
        <v>0</v>
      </c>
      <c r="J23" s="1">
        <f t="shared" si="2"/>
        <v>71.336000000000013</v>
      </c>
      <c r="K23" s="1">
        <v>1.8080000000000001</v>
      </c>
      <c r="L23" s="1">
        <f t="shared" si="7"/>
        <v>21.948</v>
      </c>
      <c r="M23" s="1">
        <v>2.4119999999999999</v>
      </c>
      <c r="N23" s="1">
        <v>0</v>
      </c>
      <c r="O23" s="1">
        <f t="shared" si="3"/>
        <v>116.149</v>
      </c>
      <c r="P23" s="1">
        <v>2.9289999999999998</v>
      </c>
      <c r="Q23" s="1">
        <f t="shared" si="4"/>
        <v>28.497999999999998</v>
      </c>
      <c r="U23" s="2">
        <v>41273</v>
      </c>
      <c r="V23">
        <f t="shared" si="5"/>
        <v>10.529909009908401</v>
      </c>
      <c r="W23">
        <f t="shared" si="6"/>
        <v>10.475055102717556</v>
      </c>
    </row>
    <row r="24" spans="4:23">
      <c r="D24" s="1">
        <v>2012</v>
      </c>
      <c r="E24" s="1">
        <v>4</v>
      </c>
      <c r="F24" s="2">
        <v>41363</v>
      </c>
      <c r="G24" s="2">
        <v>41274</v>
      </c>
      <c r="H24" s="1">
        <v>8.8260000000000005</v>
      </c>
      <c r="I24" s="1">
        <v>0</v>
      </c>
      <c r="J24" s="1">
        <f t="shared" si="2"/>
        <v>71.336000000000013</v>
      </c>
      <c r="K24" s="1">
        <v>1.8080000000000001</v>
      </c>
      <c r="L24" s="1">
        <f t="shared" si="7"/>
        <v>23.756</v>
      </c>
      <c r="M24" s="1">
        <v>7.2240000000000002</v>
      </c>
      <c r="N24" s="1">
        <v>0</v>
      </c>
      <c r="O24" s="1">
        <f t="shared" si="3"/>
        <v>116.149</v>
      </c>
      <c r="P24" s="1">
        <v>2.9289999999999998</v>
      </c>
      <c r="Q24" s="1">
        <f t="shared" si="4"/>
        <v>31.426999999999996</v>
      </c>
      <c r="U24" s="2">
        <v>41363</v>
      </c>
      <c r="V24">
        <f t="shared" si="5"/>
        <v>10.529909009908401</v>
      </c>
      <c r="W24">
        <f t="shared" si="6"/>
        <v>10.475055102717556</v>
      </c>
    </row>
    <row r="25" spans="4:23">
      <c r="D25" s="1">
        <v>2013</v>
      </c>
      <c r="E25" s="1">
        <v>1</v>
      </c>
      <c r="F25" s="2">
        <v>41455</v>
      </c>
      <c r="G25" s="2">
        <v>41364</v>
      </c>
      <c r="H25" s="1">
        <v>6.9710000000000001</v>
      </c>
      <c r="I25" s="1">
        <v>0</v>
      </c>
      <c r="J25" s="1">
        <f t="shared" si="2"/>
        <v>71.336000000000013</v>
      </c>
      <c r="K25" s="1">
        <v>5.8259999999999996</v>
      </c>
      <c r="L25" s="1">
        <f t="shared" si="7"/>
        <v>29.582000000000001</v>
      </c>
      <c r="M25" s="1">
        <v>59.368000000000002</v>
      </c>
      <c r="N25" s="1">
        <v>0</v>
      </c>
      <c r="O25" s="1">
        <f t="shared" si="3"/>
        <v>116.149</v>
      </c>
      <c r="P25" s="1">
        <v>4.2240000000000002</v>
      </c>
      <c r="Q25" s="1">
        <f t="shared" si="4"/>
        <v>35.650999999999996</v>
      </c>
      <c r="U25" s="2">
        <v>41455</v>
      </c>
      <c r="V25">
        <f t="shared" si="5"/>
        <v>36.8922585010802</v>
      </c>
      <c r="W25">
        <f t="shared" si="6"/>
        <v>15.359784842168512</v>
      </c>
    </row>
    <row r="26" spans="4:23">
      <c r="D26" s="1">
        <v>2013</v>
      </c>
      <c r="E26" s="1">
        <v>2</v>
      </c>
      <c r="F26" s="2">
        <v>41547</v>
      </c>
      <c r="G26" s="2">
        <v>41455</v>
      </c>
      <c r="H26" s="1">
        <v>7.3570000000000002</v>
      </c>
      <c r="I26" s="1">
        <v>0</v>
      </c>
      <c r="J26" s="1">
        <f t="shared" si="2"/>
        <v>71.336000000000013</v>
      </c>
      <c r="K26" s="1">
        <v>6.9710000000000001</v>
      </c>
      <c r="L26" s="1">
        <f t="shared" si="7"/>
        <v>36.552999999999997</v>
      </c>
      <c r="M26" s="1">
        <v>13.243</v>
      </c>
      <c r="N26" s="1">
        <v>0</v>
      </c>
      <c r="O26" s="1">
        <f t="shared" si="3"/>
        <v>116.149</v>
      </c>
      <c r="P26" s="1">
        <v>59.368000000000002</v>
      </c>
      <c r="Q26" s="1">
        <f t="shared" si="4"/>
        <v>95.019000000000005</v>
      </c>
      <c r="U26" s="2">
        <v>41547</v>
      </c>
      <c r="V26">
        <f t="shared" si="5"/>
        <v>45.200238599910868</v>
      </c>
      <c r="W26">
        <f t="shared" si="6"/>
        <v>421.45261360580599</v>
      </c>
    </row>
    <row r="27" spans="4:23">
      <c r="D27" s="1">
        <v>2013</v>
      </c>
      <c r="E27" s="1">
        <v>3</v>
      </c>
      <c r="F27" s="2">
        <v>41638</v>
      </c>
      <c r="G27" s="2">
        <v>41547</v>
      </c>
      <c r="H27" s="1">
        <v>33.436</v>
      </c>
      <c r="I27" s="1">
        <v>0</v>
      </c>
      <c r="J27" s="1">
        <f t="shared" si="2"/>
        <v>71.336000000000013</v>
      </c>
      <c r="K27" s="1">
        <v>4.3570000000000002</v>
      </c>
      <c r="L27" s="1">
        <f t="shared" si="7"/>
        <v>40.909999999999997</v>
      </c>
      <c r="M27" s="1">
        <v>11.616</v>
      </c>
      <c r="N27" s="1">
        <v>0</v>
      </c>
      <c r="O27" s="1">
        <f t="shared" si="3"/>
        <v>116.149</v>
      </c>
      <c r="P27" s="1">
        <v>10.243</v>
      </c>
      <c r="Q27" s="1">
        <f t="shared" si="4"/>
        <v>105.262</v>
      </c>
      <c r="U27" s="2">
        <v>41638</v>
      </c>
      <c r="V27">
        <f t="shared" si="5"/>
        <v>26.761642743740822</v>
      </c>
      <c r="W27">
        <f t="shared" si="6"/>
        <v>40.222092658961238</v>
      </c>
    </row>
    <row r="28" spans="4:23">
      <c r="D28" s="1">
        <v>2013</v>
      </c>
      <c r="E28" s="1">
        <v>4</v>
      </c>
      <c r="F28" s="2">
        <v>41728</v>
      </c>
      <c r="G28" s="2">
        <v>41639</v>
      </c>
      <c r="H28" s="1">
        <v>12.835000000000001</v>
      </c>
      <c r="I28" s="1">
        <v>0</v>
      </c>
      <c r="J28" s="1">
        <f>J27+I28</f>
        <v>71.336000000000013</v>
      </c>
      <c r="K28" s="1">
        <v>30.436</v>
      </c>
      <c r="L28" s="1">
        <f t="shared" si="7"/>
        <v>71.346000000000004</v>
      </c>
      <c r="M28" s="1">
        <v>9.5909999999999993</v>
      </c>
      <c r="N28" s="1">
        <v>0</v>
      </c>
      <c r="O28" s="1">
        <f t="shared" si="3"/>
        <v>116.149</v>
      </c>
      <c r="P28" s="1">
        <v>8.6170000000000009</v>
      </c>
      <c r="Q28" s="1">
        <f t="shared" si="4"/>
        <v>113.879</v>
      </c>
      <c r="U28" s="2">
        <v>41728</v>
      </c>
      <c r="V28">
        <f t="shared" si="5"/>
        <v>314.26498080247177</v>
      </c>
      <c r="W28">
        <f t="shared" si="6"/>
        <v>33.144461996453131</v>
      </c>
    </row>
    <row r="29" spans="4:23">
      <c r="D29" s="1">
        <v>2014</v>
      </c>
      <c r="E29" s="1">
        <v>1</v>
      </c>
      <c r="F29" s="2">
        <v>41820</v>
      </c>
      <c r="G29" s="2">
        <v>41729</v>
      </c>
      <c r="I29" s="1">
        <v>0</v>
      </c>
      <c r="J29" s="1">
        <f t="shared" si="2"/>
        <v>71.336000000000013</v>
      </c>
      <c r="K29" s="1">
        <v>10.435</v>
      </c>
      <c r="L29" s="1">
        <f>L28+K29</f>
        <v>81.781000000000006</v>
      </c>
      <c r="N29" s="1">
        <v>0</v>
      </c>
      <c r="O29" s="1">
        <f t="shared" si="3"/>
        <v>116.149</v>
      </c>
      <c r="P29" s="1">
        <v>7.1909999999999998</v>
      </c>
      <c r="Q29" s="1">
        <f>Q28+P29</f>
        <v>121.07000000000001</v>
      </c>
      <c r="U29" s="2">
        <v>41820</v>
      </c>
      <c r="V29">
        <f t="shared" si="5"/>
        <v>72.648266069940476</v>
      </c>
      <c r="W29">
        <f t="shared" si="6"/>
        <v>27.160982913453434</v>
      </c>
    </row>
    <row r="30" spans="4:23">
      <c r="D30" s="1">
        <v>2014</v>
      </c>
      <c r="E30" s="1">
        <v>2</v>
      </c>
      <c r="F30" s="2">
        <v>41912</v>
      </c>
      <c r="G30" s="2">
        <v>41820</v>
      </c>
      <c r="I30" s="1">
        <v>0</v>
      </c>
      <c r="J30" s="1">
        <f t="shared" si="2"/>
        <v>71.336000000000013</v>
      </c>
      <c r="K30" s="1">
        <v>4.4989999999999997</v>
      </c>
      <c r="L30" s="1">
        <f t="shared" ref="L30:L37" si="8">L29+K30</f>
        <v>86.28</v>
      </c>
      <c r="N30" s="1">
        <v>0</v>
      </c>
      <c r="O30" s="1">
        <f t="shared" si="3"/>
        <v>116.149</v>
      </c>
      <c r="P30" s="1">
        <v>5.6920000000000002</v>
      </c>
      <c r="Q30" s="1">
        <f t="shared" ref="Q30:Q37" si="9">Q29+P30</f>
        <v>126.762</v>
      </c>
      <c r="U30" s="2">
        <v>41912</v>
      </c>
      <c r="V30">
        <f t="shared" si="5"/>
        <v>27.715541733375915</v>
      </c>
      <c r="W30">
        <f t="shared" si="6"/>
        <v>21.091014845572698</v>
      </c>
    </row>
    <row r="31" spans="4:23">
      <c r="D31" s="1">
        <v>2014</v>
      </c>
      <c r="E31" s="1">
        <v>3</v>
      </c>
      <c r="F31" s="2">
        <v>42004</v>
      </c>
      <c r="G31" s="2">
        <v>41912</v>
      </c>
      <c r="I31" s="1">
        <v>0</v>
      </c>
      <c r="J31" s="1">
        <f t="shared" si="2"/>
        <v>71.336000000000013</v>
      </c>
      <c r="K31" s="1">
        <v>1.89</v>
      </c>
      <c r="L31" s="1">
        <f t="shared" si="8"/>
        <v>88.17</v>
      </c>
      <c r="N31" s="1">
        <v>0</v>
      </c>
      <c r="O31" s="1">
        <f t="shared" si="3"/>
        <v>116.149</v>
      </c>
      <c r="P31" s="1">
        <v>3.7120000000000002</v>
      </c>
      <c r="Q31" s="1">
        <f t="shared" si="9"/>
        <v>130.47399999999999</v>
      </c>
      <c r="U31" s="2">
        <v>42004</v>
      </c>
      <c r="V31">
        <f t="shared" si="5"/>
        <v>11.026392941052855</v>
      </c>
      <c r="W31">
        <f t="shared" si="6"/>
        <v>13.409565517873713</v>
      </c>
    </row>
    <row r="32" spans="4:23">
      <c r="D32" s="1">
        <v>2014</v>
      </c>
      <c r="E32" s="1">
        <v>4</v>
      </c>
      <c r="F32" s="2">
        <v>42093</v>
      </c>
      <c r="G32" s="2">
        <v>42004</v>
      </c>
      <c r="I32" s="1">
        <v>0</v>
      </c>
      <c r="J32" s="1">
        <f t="shared" si="2"/>
        <v>71.336000000000013</v>
      </c>
      <c r="K32" s="1">
        <v>2.786</v>
      </c>
      <c r="L32" s="1">
        <f t="shared" si="8"/>
        <v>90.956000000000003</v>
      </c>
      <c r="N32" s="1">
        <v>0</v>
      </c>
      <c r="O32" s="1">
        <f t="shared" si="3"/>
        <v>116.149</v>
      </c>
      <c r="P32" s="1">
        <v>3.9990000000000001</v>
      </c>
      <c r="Q32" s="1">
        <f t="shared" si="9"/>
        <v>134.47299999999998</v>
      </c>
      <c r="U32" s="2">
        <v>42093</v>
      </c>
      <c r="V32">
        <f t="shared" si="5"/>
        <v>16.561063738965377</v>
      </c>
      <c r="W32">
        <f t="shared" si="6"/>
        <v>14.499682748553733</v>
      </c>
    </row>
    <row r="33" spans="4:53">
      <c r="D33" s="1">
        <v>2015</v>
      </c>
      <c r="E33" s="1">
        <v>1</v>
      </c>
      <c r="F33" s="2">
        <v>42185</v>
      </c>
      <c r="G33" s="2">
        <v>42093</v>
      </c>
      <c r="I33" s="1">
        <v>0</v>
      </c>
      <c r="J33" s="1">
        <f>J32+I33</f>
        <v>71.336000000000013</v>
      </c>
      <c r="K33" s="1">
        <v>0.85099999999999998</v>
      </c>
      <c r="L33" s="1">
        <f t="shared" si="8"/>
        <v>91.807000000000002</v>
      </c>
      <c r="N33" s="1">
        <v>0</v>
      </c>
      <c r="O33" s="1">
        <f t="shared" si="3"/>
        <v>116.149</v>
      </c>
      <c r="P33" s="1">
        <v>1.92</v>
      </c>
      <c r="Q33" s="1">
        <f t="shared" si="9"/>
        <v>136.39299999999997</v>
      </c>
      <c r="U33" s="2">
        <v>42185</v>
      </c>
      <c r="V33">
        <f t="shared" si="5"/>
        <v>4.8578525577870568</v>
      </c>
      <c r="W33">
        <f t="shared" si="6"/>
        <v>6.7779649794381669</v>
      </c>
    </row>
    <row r="34" spans="4:53">
      <c r="D34" s="1">
        <v>2015</v>
      </c>
      <c r="E34" s="1">
        <v>2</v>
      </c>
      <c r="F34" s="2">
        <v>42277</v>
      </c>
      <c r="G34" s="2">
        <v>42185</v>
      </c>
      <c r="I34" s="1">
        <v>0</v>
      </c>
      <c r="J34" s="1">
        <f>J33+I34</f>
        <v>71.336000000000013</v>
      </c>
      <c r="K34" s="1">
        <v>0.746</v>
      </c>
      <c r="L34" s="1">
        <f t="shared" si="8"/>
        <v>92.552999999999997</v>
      </c>
      <c r="N34" s="1">
        <v>0</v>
      </c>
      <c r="O34" s="1">
        <f t="shared" si="3"/>
        <v>116.149</v>
      </c>
      <c r="P34" s="1">
        <v>1.796</v>
      </c>
      <c r="Q34" s="1">
        <f t="shared" si="9"/>
        <v>138.18899999999996</v>
      </c>
      <c r="U34" s="2">
        <v>42277</v>
      </c>
      <c r="V34">
        <f t="shared" si="5"/>
        <v>4.249096097077687</v>
      </c>
      <c r="W34">
        <f t="shared" si="6"/>
        <v>6.3301040206123371</v>
      </c>
    </row>
    <row r="35" spans="4:53">
      <c r="D35" s="1">
        <v>2015</v>
      </c>
      <c r="E35" s="1">
        <v>3</v>
      </c>
      <c r="F35" s="2">
        <v>42369</v>
      </c>
      <c r="G35" s="2">
        <v>42277</v>
      </c>
      <c r="I35" s="1">
        <v>0</v>
      </c>
      <c r="J35" s="1">
        <f t="shared" ref="J35:J37" si="10">J34+I35</f>
        <v>71.336000000000013</v>
      </c>
      <c r="K35" s="1">
        <v>3.9129999999999998</v>
      </c>
      <c r="L35" s="1">
        <f t="shared" si="8"/>
        <v>96.465999999999994</v>
      </c>
      <c r="N35" s="1">
        <v>0</v>
      </c>
      <c r="O35" s="1">
        <f t="shared" si="3"/>
        <v>116.149</v>
      </c>
      <c r="P35" s="1">
        <v>4.359</v>
      </c>
      <c r="Q35" s="1">
        <f t="shared" si="9"/>
        <v>142.54799999999997</v>
      </c>
      <c r="U35" s="2">
        <v>42369</v>
      </c>
      <c r="V35">
        <f t="shared" si="5"/>
        <v>23.813476168288283</v>
      </c>
      <c r="W35">
        <f t="shared" si="6"/>
        <v>15.878166522890558</v>
      </c>
    </row>
    <row r="36" spans="4:53">
      <c r="D36" s="1">
        <v>2015</v>
      </c>
      <c r="E36" s="1">
        <v>4</v>
      </c>
      <c r="F36" s="2">
        <v>42459</v>
      </c>
      <c r="G36" s="2">
        <v>42369</v>
      </c>
      <c r="I36" s="1">
        <v>0</v>
      </c>
      <c r="J36" s="1">
        <f t="shared" si="10"/>
        <v>71.336000000000013</v>
      </c>
      <c r="K36" s="1">
        <v>0</v>
      </c>
      <c r="L36" s="1">
        <f t="shared" si="8"/>
        <v>96.465999999999994</v>
      </c>
      <c r="N36" s="1">
        <v>0</v>
      </c>
      <c r="O36" s="1">
        <f t="shared" si="3"/>
        <v>116.149</v>
      </c>
      <c r="P36" s="1">
        <v>2.202</v>
      </c>
      <c r="Q36" s="1">
        <f t="shared" si="9"/>
        <v>144.74999999999997</v>
      </c>
      <c r="U36" s="2">
        <v>42459</v>
      </c>
      <c r="V36">
        <f t="shared" si="5"/>
        <v>0</v>
      </c>
      <c r="W36">
        <f t="shared" si="6"/>
        <v>7.8017540039221789</v>
      </c>
    </row>
    <row r="37" spans="4:53">
      <c r="D37" s="1">
        <v>2016</v>
      </c>
      <c r="E37" s="1">
        <v>1</v>
      </c>
      <c r="F37" s="2">
        <v>42551</v>
      </c>
      <c r="G37" s="2">
        <v>42459</v>
      </c>
      <c r="I37" s="1">
        <v>0</v>
      </c>
      <c r="J37" s="1">
        <f t="shared" si="10"/>
        <v>71.336000000000013</v>
      </c>
      <c r="K37" s="1">
        <v>1.7</v>
      </c>
      <c r="L37" s="1">
        <f t="shared" si="8"/>
        <v>98.165999999999997</v>
      </c>
      <c r="N37" s="1">
        <v>0</v>
      </c>
      <c r="O37" s="1">
        <f t="shared" si="3"/>
        <v>116.149</v>
      </c>
      <c r="P37" s="1">
        <v>2.859</v>
      </c>
      <c r="Q37" s="1">
        <f t="shared" si="9"/>
        <v>147.60899999999998</v>
      </c>
      <c r="U37" s="2">
        <v>42551</v>
      </c>
      <c r="V37">
        <f>100*((1+K37/J35)^4-1)</f>
        <v>9.8785463553036976</v>
      </c>
      <c r="W37">
        <f>100*((1+P37/O35)^4-1)</f>
        <v>10.215513036526879</v>
      </c>
    </row>
    <row r="38" spans="4:53">
      <c r="F38" s="2"/>
      <c r="G38" s="2"/>
    </row>
    <row r="39" spans="4:53">
      <c r="F39" s="2"/>
      <c r="G39" s="2"/>
    </row>
    <row r="41" spans="4:53">
      <c r="J41" s="1">
        <f>J37/200*100</f>
        <v>35.668000000000006</v>
      </c>
      <c r="O41" s="1">
        <f>O37/200*100</f>
        <v>58.074499999999993</v>
      </c>
    </row>
    <row r="42" spans="4:53">
      <c r="X42" s="42" t="s">
        <v>6</v>
      </c>
      <c r="Y42" s="43"/>
      <c r="Z42" s="44"/>
      <c r="AA42" s="45" t="s">
        <v>7</v>
      </c>
      <c r="AB42" s="46"/>
      <c r="AC42" s="47"/>
      <c r="AD42" s="48" t="s">
        <v>31</v>
      </c>
      <c r="AE42" s="49"/>
      <c r="AF42" s="50"/>
      <c r="AG42" s="3" t="s">
        <v>6</v>
      </c>
      <c r="AH42" s="3" t="s">
        <v>7</v>
      </c>
      <c r="AI42" s="3" t="s">
        <v>33</v>
      </c>
      <c r="AJ42" s="3" t="s">
        <v>6</v>
      </c>
      <c r="AK42" s="3" t="s">
        <v>7</v>
      </c>
      <c r="AL42" s="3" t="s">
        <v>33</v>
      </c>
      <c r="AM42" s="3" t="s">
        <v>6</v>
      </c>
      <c r="AN42" s="3" t="s">
        <v>7</v>
      </c>
      <c r="AO42" s="3" t="s">
        <v>33</v>
      </c>
    </row>
    <row r="43" spans="4:53">
      <c r="F43" s="52" t="s">
        <v>6</v>
      </c>
      <c r="G43" s="52"/>
      <c r="H43" s="52"/>
      <c r="I43" s="52"/>
      <c r="J43" s="52"/>
      <c r="K43" s="52"/>
      <c r="L43" s="53" t="s">
        <v>7</v>
      </c>
      <c r="M43" s="53"/>
      <c r="N43" s="53"/>
      <c r="O43" s="53"/>
      <c r="P43" s="53"/>
      <c r="Q43" s="53"/>
      <c r="W43" s="3" t="s">
        <v>8</v>
      </c>
      <c r="X43" s="26" t="s">
        <v>13</v>
      </c>
      <c r="Y43" s="27" t="s">
        <v>29</v>
      </c>
      <c r="Z43" s="30" t="s">
        <v>30</v>
      </c>
      <c r="AA43" t="s">
        <v>13</v>
      </c>
      <c r="AB43" t="s">
        <v>29</v>
      </c>
      <c r="AC43" t="s">
        <v>30</v>
      </c>
      <c r="AD43" t="s">
        <v>13</v>
      </c>
      <c r="AE43" t="s">
        <v>29</v>
      </c>
      <c r="AF43" t="s">
        <v>30</v>
      </c>
      <c r="AG43" s="35" t="s">
        <v>34</v>
      </c>
      <c r="AH43" s="35" t="s">
        <v>34</v>
      </c>
      <c r="AI43" s="35" t="s">
        <v>34</v>
      </c>
      <c r="AJ43" s="35" t="s">
        <v>32</v>
      </c>
      <c r="AK43" s="35" t="s">
        <v>32</v>
      </c>
      <c r="AL43" s="35" t="s">
        <v>32</v>
      </c>
      <c r="AM43" s="35" t="s">
        <v>35</v>
      </c>
      <c r="AN43" s="35" t="s">
        <v>35</v>
      </c>
      <c r="AO43" s="35" t="s">
        <v>35</v>
      </c>
    </row>
    <row r="44" spans="4:53">
      <c r="E44" s="3" t="s">
        <v>12</v>
      </c>
      <c r="F44" s="3" t="s">
        <v>13</v>
      </c>
      <c r="G44" s="3" t="s">
        <v>14</v>
      </c>
      <c r="H44" s="3" t="s">
        <v>10</v>
      </c>
      <c r="I44" s="3" t="s">
        <v>17</v>
      </c>
      <c r="J44" s="3" t="s">
        <v>15</v>
      </c>
      <c r="K44" s="3" t="s">
        <v>16</v>
      </c>
      <c r="L44" s="3" t="s">
        <v>13</v>
      </c>
      <c r="M44" s="3" t="s">
        <v>14</v>
      </c>
      <c r="N44" s="3" t="s">
        <v>18</v>
      </c>
      <c r="O44" s="3" t="s">
        <v>17</v>
      </c>
      <c r="P44" s="3" t="s">
        <v>15</v>
      </c>
      <c r="Q44" s="3" t="s">
        <v>16</v>
      </c>
      <c r="W44" s="36">
        <v>39721</v>
      </c>
      <c r="X44" s="37">
        <v>13.8</v>
      </c>
      <c r="Y44" s="38">
        <v>6.0000000000000001E-3</v>
      </c>
      <c r="Z44" s="39">
        <f>X44-Y44</f>
        <v>13.794</v>
      </c>
      <c r="AA44" s="40">
        <v>0</v>
      </c>
      <c r="AB44" s="40">
        <v>6.0000000000000001E-3</v>
      </c>
      <c r="AC44" s="40">
        <f>AA44-AB44</f>
        <v>-6.0000000000000001E-3</v>
      </c>
      <c r="AD44" s="40">
        <f>X44+AA44</f>
        <v>13.8</v>
      </c>
      <c r="AE44" s="40">
        <f t="shared" ref="AE44:AF44" si="11">Y44+AB44</f>
        <v>1.2E-2</v>
      </c>
      <c r="AF44" s="40">
        <f t="shared" si="11"/>
        <v>13.788</v>
      </c>
      <c r="AG44" s="40">
        <f>X44</f>
        <v>13.8</v>
      </c>
      <c r="AH44" s="40">
        <f>AA44</f>
        <v>0</v>
      </c>
      <c r="AI44" s="40">
        <f>AG44+AH44</f>
        <v>13.8</v>
      </c>
      <c r="AJ44" s="40">
        <f>-X44</f>
        <v>-13.8</v>
      </c>
      <c r="AK44" s="40">
        <f>-AA44</f>
        <v>0</v>
      </c>
      <c r="AL44" s="40">
        <f>AJ44+AK44</f>
        <v>-13.8</v>
      </c>
      <c r="AM44" s="11"/>
      <c r="AN44" s="11"/>
      <c r="AO44" s="11"/>
      <c r="AQ44" s="34" t="s">
        <v>41</v>
      </c>
      <c r="AS44" t="s">
        <v>37</v>
      </c>
      <c r="AT44" t="s">
        <v>38</v>
      </c>
      <c r="AU44" t="s">
        <v>39</v>
      </c>
      <c r="AV44" t="s">
        <v>40</v>
      </c>
      <c r="AW44" t="s">
        <v>42</v>
      </c>
      <c r="AX44" t="s">
        <v>43</v>
      </c>
      <c r="AY44" t="s">
        <v>44</v>
      </c>
    </row>
    <row r="45" spans="4:53">
      <c r="D45" s="2"/>
      <c r="E45" s="2">
        <v>39721</v>
      </c>
      <c r="F45" s="1">
        <v>13.8</v>
      </c>
      <c r="H45" s="1">
        <v>6.0000000000000001E-3</v>
      </c>
      <c r="L45" s="1">
        <v>0</v>
      </c>
      <c r="N45" s="1">
        <v>6.0000000000000001E-3</v>
      </c>
      <c r="W45" s="2">
        <v>39776</v>
      </c>
      <c r="X45" s="28">
        <v>13.8</v>
      </c>
      <c r="Y45" s="27">
        <v>6.0000000000000001E-3</v>
      </c>
      <c r="Z45" s="30">
        <f t="shared" ref="Z45:Z75" si="12">X45-Y45</f>
        <v>13.794</v>
      </c>
      <c r="AA45">
        <v>0</v>
      </c>
      <c r="AB45">
        <v>6.0000000000000001E-3</v>
      </c>
      <c r="AC45">
        <f t="shared" ref="AC45:AC75" si="13">AA45-AB45</f>
        <v>-6.0000000000000001E-3</v>
      </c>
      <c r="AD45" s="32">
        <f t="shared" ref="AD45:AD75" si="14">X45+AA45</f>
        <v>13.8</v>
      </c>
      <c r="AE45" s="32">
        <f t="shared" ref="AE45:AE75" si="15">Y45+AB45</f>
        <v>1.2E-2</v>
      </c>
      <c r="AF45" s="32">
        <f t="shared" ref="AF45:AF75" si="16">Z45+AC45</f>
        <v>13.788</v>
      </c>
      <c r="AG45" s="32">
        <f t="shared" ref="AG45:AG62" si="17">X45</f>
        <v>13.8</v>
      </c>
      <c r="AH45" s="32">
        <f t="shared" ref="AH45:AH62" si="18">AA45</f>
        <v>0</v>
      </c>
      <c r="AI45" s="32">
        <f t="shared" ref="AI45:AI75" si="19">AG45+AH45</f>
        <v>13.8</v>
      </c>
      <c r="AJ45" s="32">
        <f>-X45</f>
        <v>-13.8</v>
      </c>
      <c r="AK45" s="32">
        <f>-AA45</f>
        <v>0</v>
      </c>
      <c r="AL45" s="32">
        <f t="shared" ref="AL45:AL75" si="20">AJ45+AK45</f>
        <v>-13.8</v>
      </c>
      <c r="AM45" s="1">
        <v>6.0000000000000001E-3</v>
      </c>
      <c r="AN45" s="1">
        <v>6.0000000000000001E-3</v>
      </c>
      <c r="AO45">
        <f>AM45+AN45</f>
        <v>1.2E-2</v>
      </c>
      <c r="AQ45" s="41">
        <f>AR45/AR$60</f>
        <v>0</v>
      </c>
      <c r="AR45">
        <v>0</v>
      </c>
      <c r="AS45" s="34">
        <f>AD45/AD$60</f>
        <v>7.3605888471077685E-2</v>
      </c>
      <c r="AT45" s="41">
        <f>(AD46-AD45)/1</f>
        <v>0</v>
      </c>
      <c r="AU45" s="41">
        <v>0</v>
      </c>
      <c r="AV45" s="41">
        <v>0</v>
      </c>
      <c r="AW45" s="41">
        <f>AD45/AD$60</f>
        <v>7.3605888471077685E-2</v>
      </c>
      <c r="AX45" s="41">
        <f t="shared" ref="AX45:AY60" si="21">AE45/AE$60</f>
        <v>2.6253035507230524E-4</v>
      </c>
      <c r="AY45" s="41">
        <f t="shared" si="21"/>
        <v>9.7252003159914224E-2</v>
      </c>
      <c r="BA45">
        <f>(1-AW45)/(1-AQ45)</f>
        <v>0.92639411152892226</v>
      </c>
    </row>
    <row r="46" spans="4:53">
      <c r="D46" s="2"/>
      <c r="E46" s="2">
        <v>39776</v>
      </c>
      <c r="F46" s="1">
        <v>13.8</v>
      </c>
      <c r="H46" s="1">
        <f t="shared" ref="H46:H73" si="22">L7</f>
        <v>6.0000000000000001E-3</v>
      </c>
      <c r="L46" s="1">
        <v>0</v>
      </c>
      <c r="N46" s="1">
        <f t="shared" ref="N46:N73" si="23">Q7</f>
        <v>6.0000000000000001E-3</v>
      </c>
      <c r="W46" s="2">
        <v>39813</v>
      </c>
      <c r="X46" s="28">
        <v>13.8</v>
      </c>
      <c r="Y46" s="27">
        <v>0.17300000000000001</v>
      </c>
      <c r="Z46" s="30">
        <f t="shared" si="12"/>
        <v>13.627000000000001</v>
      </c>
      <c r="AA46">
        <v>0</v>
      </c>
      <c r="AB46">
        <v>3.1E-2</v>
      </c>
      <c r="AC46">
        <f t="shared" si="13"/>
        <v>-3.1E-2</v>
      </c>
      <c r="AD46" s="32">
        <f t="shared" si="14"/>
        <v>13.8</v>
      </c>
      <c r="AE46" s="32">
        <f t="shared" si="15"/>
        <v>0.20400000000000001</v>
      </c>
      <c r="AF46" s="32">
        <f t="shared" si="16"/>
        <v>13.596</v>
      </c>
      <c r="AG46" s="32">
        <f t="shared" si="17"/>
        <v>13.8</v>
      </c>
      <c r="AH46" s="32">
        <f t="shared" si="18"/>
        <v>0</v>
      </c>
      <c r="AI46" s="32">
        <f t="shared" si="19"/>
        <v>13.8</v>
      </c>
      <c r="AJ46" s="32">
        <f t="shared" ref="AJ46:AJ60" si="24">-X46</f>
        <v>-13.8</v>
      </c>
      <c r="AK46" s="32">
        <f t="shared" ref="AK46:AK60" si="25">-AA46</f>
        <v>0</v>
      </c>
      <c r="AL46" s="32">
        <f t="shared" si="20"/>
        <v>-13.8</v>
      </c>
      <c r="AM46" s="1">
        <v>0.16700000000000001</v>
      </c>
      <c r="AN46" s="1">
        <v>2.5000000000000001E-2</v>
      </c>
      <c r="AO46">
        <f t="shared" ref="AO46:AO75" si="26">AM46+AN46</f>
        <v>0.192</v>
      </c>
      <c r="AQ46" s="41">
        <f t="shared" ref="AQ46:AQ60" si="27">AR46/AR$60</f>
        <v>6.6666666666666666E-2</v>
      </c>
      <c r="AR46">
        <v>1</v>
      </c>
      <c r="AS46" s="34">
        <f t="shared" ref="AS46:AS60" si="28">AD46/AD$60</f>
        <v>7.3605888471077685E-2</v>
      </c>
      <c r="AT46" s="41">
        <f>(AD46-0)/1</f>
        <v>13.8</v>
      </c>
      <c r="AU46" s="41">
        <f t="shared" ref="AU46:AV46" si="29">(AE46-0)/1</f>
        <v>0.20400000000000001</v>
      </c>
      <c r="AV46" s="41">
        <f t="shared" si="29"/>
        <v>13.596</v>
      </c>
      <c r="AW46" s="41">
        <f t="shared" ref="AW46:AW60" si="30">AD46/AD$60</f>
        <v>7.3605888471077685E-2</v>
      </c>
      <c r="AX46" s="41">
        <f t="shared" si="21"/>
        <v>4.4630160362291891E-3</v>
      </c>
      <c r="AY46" s="41">
        <f t="shared" si="21"/>
        <v>9.5897754203814467E-2</v>
      </c>
      <c r="BA46">
        <f t="shared" ref="BA46:BA60" si="31">(1-AW46)/(1-AQ46)</f>
        <v>0.99256511949527382</v>
      </c>
    </row>
    <row r="47" spans="4:53">
      <c r="D47" s="2"/>
      <c r="E47" s="2">
        <v>39813</v>
      </c>
      <c r="F47" s="1">
        <f>J7</f>
        <v>13.8</v>
      </c>
      <c r="G47" s="1">
        <f t="shared" ref="G47:G56" si="32">F47*1.1^0.25-F47</f>
        <v>0.33276890936534187</v>
      </c>
      <c r="H47" s="1">
        <f t="shared" si="22"/>
        <v>0.17300000000000001</v>
      </c>
      <c r="I47" s="1">
        <f>G47</f>
        <v>0.33276890936534187</v>
      </c>
      <c r="L47" s="1">
        <f>O7</f>
        <v>0</v>
      </c>
      <c r="M47" s="1">
        <f>L47*1.1^0.25-L47</f>
        <v>0</v>
      </c>
      <c r="N47" s="1">
        <f t="shared" si="23"/>
        <v>3.1E-2</v>
      </c>
      <c r="O47" s="1">
        <f>M47</f>
        <v>0</v>
      </c>
      <c r="W47" s="2">
        <v>39903</v>
      </c>
      <c r="X47" s="28">
        <v>44.6</v>
      </c>
      <c r="Y47" s="27">
        <v>0.54300000000000004</v>
      </c>
      <c r="Z47" s="30">
        <f t="shared" si="12"/>
        <v>44.057000000000002</v>
      </c>
      <c r="AA47">
        <v>15.2</v>
      </c>
      <c r="AB47">
        <v>5.6000000000000001E-2</v>
      </c>
      <c r="AC47">
        <f t="shared" si="13"/>
        <v>15.144</v>
      </c>
      <c r="AD47" s="32">
        <f t="shared" si="14"/>
        <v>59.8</v>
      </c>
      <c r="AE47" s="32">
        <f t="shared" si="15"/>
        <v>0.59900000000000009</v>
      </c>
      <c r="AF47" s="32">
        <f t="shared" si="16"/>
        <v>59.201000000000001</v>
      </c>
      <c r="AG47" s="32">
        <f t="shared" si="17"/>
        <v>44.6</v>
      </c>
      <c r="AH47" s="32">
        <f t="shared" si="18"/>
        <v>15.2</v>
      </c>
      <c r="AI47" s="32">
        <f t="shared" si="19"/>
        <v>59.8</v>
      </c>
      <c r="AJ47" s="32">
        <f t="shared" si="24"/>
        <v>-44.6</v>
      </c>
      <c r="AK47" s="32">
        <f t="shared" si="25"/>
        <v>-15.2</v>
      </c>
      <c r="AL47" s="32">
        <f t="shared" si="20"/>
        <v>-59.8</v>
      </c>
      <c r="AM47" s="1">
        <v>0.37</v>
      </c>
      <c r="AN47" s="1">
        <v>2.5000000000000001E-2</v>
      </c>
      <c r="AO47">
        <f t="shared" si="26"/>
        <v>0.39500000000000002</v>
      </c>
      <c r="AQ47" s="41">
        <f t="shared" si="27"/>
        <v>0.13333333333333333</v>
      </c>
      <c r="AR47">
        <f>AR46+1</f>
        <v>2</v>
      </c>
      <c r="AS47" s="34">
        <f t="shared" si="28"/>
        <v>0.31895885004133662</v>
      </c>
      <c r="AT47" s="41">
        <f>(AD47-AD46)/1</f>
        <v>46</v>
      </c>
      <c r="AU47" s="41">
        <f t="shared" ref="AU47:AV47" si="33">(AE47-AE46)/1</f>
        <v>0.39500000000000007</v>
      </c>
      <c r="AV47" s="41">
        <f t="shared" si="33"/>
        <v>45.605000000000004</v>
      </c>
      <c r="AW47" s="41">
        <f t="shared" si="30"/>
        <v>0.31895885004133662</v>
      </c>
      <c r="AX47" s="41">
        <f t="shared" si="21"/>
        <v>1.3104640224025904E-2</v>
      </c>
      <c r="AY47" s="41">
        <f t="shared" si="21"/>
        <v>0.41756714817740659</v>
      </c>
      <c r="BA47">
        <f t="shared" si="31"/>
        <v>0.78581671149076537</v>
      </c>
    </row>
    <row r="48" spans="4:53">
      <c r="D48" s="2"/>
      <c r="E48" s="2">
        <v>39903</v>
      </c>
      <c r="F48" s="1">
        <f t="shared" ref="F48:F76" si="34">J8</f>
        <v>44.6</v>
      </c>
      <c r="G48" s="1">
        <f t="shared" si="32"/>
        <v>1.0754705331662535</v>
      </c>
      <c r="H48" s="1">
        <f t="shared" si="22"/>
        <v>0.54300000000000004</v>
      </c>
      <c r="I48" s="1">
        <f t="shared" ref="I48:I56" si="35">I47+G48</f>
        <v>1.4082394425315954</v>
      </c>
      <c r="L48" s="1">
        <f t="shared" ref="L48:L76" si="36">O8</f>
        <v>15.2</v>
      </c>
      <c r="M48" s="1">
        <f t="shared" ref="M48:M76" si="37">L48*1.1^0.25-L48</f>
        <v>0.3665280740835648</v>
      </c>
      <c r="N48" s="1">
        <f t="shared" si="23"/>
        <v>5.6000000000000001E-2</v>
      </c>
      <c r="O48" s="1">
        <f>O47+M48</f>
        <v>0.3665280740835648</v>
      </c>
      <c r="W48" s="2">
        <v>39994</v>
      </c>
      <c r="X48" s="28">
        <v>50.7</v>
      </c>
      <c r="Y48" s="27">
        <v>1.6920000000000002</v>
      </c>
      <c r="Z48" s="30">
        <f t="shared" si="12"/>
        <v>49.008000000000003</v>
      </c>
      <c r="AA48">
        <v>34.200000000000003</v>
      </c>
      <c r="AB48">
        <v>0.46499999999999997</v>
      </c>
      <c r="AC48">
        <f t="shared" si="13"/>
        <v>33.734999999999999</v>
      </c>
      <c r="AD48" s="32">
        <f t="shared" si="14"/>
        <v>84.9</v>
      </c>
      <c r="AE48" s="32">
        <f t="shared" si="15"/>
        <v>2.157</v>
      </c>
      <c r="AF48" s="32">
        <f t="shared" si="16"/>
        <v>82.742999999999995</v>
      </c>
      <c r="AG48" s="32">
        <f t="shared" si="17"/>
        <v>50.7</v>
      </c>
      <c r="AH48" s="32">
        <f t="shared" si="18"/>
        <v>34.200000000000003</v>
      </c>
      <c r="AI48" s="32">
        <f t="shared" si="19"/>
        <v>84.9</v>
      </c>
      <c r="AJ48" s="32">
        <f t="shared" si="24"/>
        <v>-50.7</v>
      </c>
      <c r="AK48" s="32">
        <f t="shared" si="25"/>
        <v>-34.200000000000003</v>
      </c>
      <c r="AL48" s="32">
        <f t="shared" si="20"/>
        <v>-84.9</v>
      </c>
      <c r="AM48" s="1">
        <v>1.149</v>
      </c>
      <c r="AN48" s="1">
        <v>0.40899999999999997</v>
      </c>
      <c r="AO48">
        <f t="shared" si="26"/>
        <v>1.5580000000000001</v>
      </c>
      <c r="AQ48" s="41">
        <f t="shared" si="27"/>
        <v>0.2</v>
      </c>
      <c r="AR48">
        <f t="shared" ref="AR48:AR60" si="38">AR47+1</f>
        <v>3</v>
      </c>
      <c r="AS48" s="34">
        <f t="shared" si="28"/>
        <v>0.45283622689815184</v>
      </c>
      <c r="AT48" s="41">
        <f t="shared" ref="AT48:AT60" si="39">(AD48-AD47)/1</f>
        <v>25.100000000000009</v>
      </c>
      <c r="AU48" s="41">
        <f t="shared" ref="AU48:AU60" si="40">(AE48-AE47)/1</f>
        <v>1.5579999999999998</v>
      </c>
      <c r="AV48" s="41">
        <f t="shared" ref="AV48:AV60" si="41">(AF48-AF47)/1</f>
        <v>23.541999999999994</v>
      </c>
      <c r="AW48" s="41">
        <f t="shared" si="30"/>
        <v>0.45283622689815184</v>
      </c>
      <c r="AX48" s="41">
        <f t="shared" si="21"/>
        <v>4.718983132424686E-2</v>
      </c>
      <c r="AY48" s="41">
        <f t="shared" si="21"/>
        <v>0.58361781965918058</v>
      </c>
      <c r="BA48">
        <f t="shared" si="31"/>
        <v>0.6839547163773102</v>
      </c>
    </row>
    <row r="49" spans="1:53">
      <c r="D49" s="2"/>
      <c r="E49" s="2">
        <v>39994</v>
      </c>
      <c r="F49" s="1">
        <f t="shared" si="34"/>
        <v>50.7</v>
      </c>
      <c r="G49" s="1">
        <f t="shared" si="32"/>
        <v>1.2225640365813675</v>
      </c>
      <c r="H49" s="1">
        <f t="shared" si="22"/>
        <v>1.6920000000000002</v>
      </c>
      <c r="I49" s="1">
        <f t="shared" si="35"/>
        <v>2.6308034791129629</v>
      </c>
      <c r="L49" s="1">
        <f t="shared" si="36"/>
        <v>34.200000000000003</v>
      </c>
      <c r="M49" s="1">
        <f t="shared" si="37"/>
        <v>0.82468816668801992</v>
      </c>
      <c r="N49" s="1">
        <f t="shared" si="23"/>
        <v>0.46499999999999997</v>
      </c>
      <c r="O49" s="1">
        <f t="shared" ref="O49:O76" si="42">O48+M49</f>
        <v>1.1912162407715847</v>
      </c>
      <c r="W49" s="2">
        <v>40086</v>
      </c>
      <c r="X49" s="28">
        <v>50.7</v>
      </c>
      <c r="Y49" s="27">
        <v>2.9860000000000002</v>
      </c>
      <c r="Z49" s="30">
        <f t="shared" si="12"/>
        <v>47.714000000000006</v>
      </c>
      <c r="AA49">
        <v>44.900000000000006</v>
      </c>
      <c r="AB49">
        <v>1.35</v>
      </c>
      <c r="AC49">
        <f t="shared" si="13"/>
        <v>43.550000000000004</v>
      </c>
      <c r="AD49" s="32">
        <f t="shared" si="14"/>
        <v>95.600000000000009</v>
      </c>
      <c r="AE49" s="32">
        <f t="shared" si="15"/>
        <v>4.3360000000000003</v>
      </c>
      <c r="AF49" s="32">
        <f t="shared" si="16"/>
        <v>91.26400000000001</v>
      </c>
      <c r="AG49" s="32">
        <f t="shared" si="17"/>
        <v>50.7</v>
      </c>
      <c r="AH49" s="32">
        <f t="shared" si="18"/>
        <v>44.900000000000006</v>
      </c>
      <c r="AI49" s="32">
        <f t="shared" si="19"/>
        <v>95.600000000000009</v>
      </c>
      <c r="AJ49" s="32">
        <f t="shared" si="24"/>
        <v>-50.7</v>
      </c>
      <c r="AK49" s="32">
        <f t="shared" si="25"/>
        <v>-44.900000000000006</v>
      </c>
      <c r="AL49" s="32">
        <f t="shared" si="20"/>
        <v>-95.600000000000009</v>
      </c>
      <c r="AM49" s="1">
        <v>1.294</v>
      </c>
      <c r="AN49" s="1">
        <v>0.88500000000000001</v>
      </c>
      <c r="AO49">
        <f t="shared" si="26"/>
        <v>2.1790000000000003</v>
      </c>
      <c r="AQ49" s="41">
        <f t="shared" si="27"/>
        <v>0.26666666666666666</v>
      </c>
      <c r="AR49">
        <f t="shared" si="38"/>
        <v>4</v>
      </c>
      <c r="AS49" s="34">
        <f t="shared" si="28"/>
        <v>0.50990745926340775</v>
      </c>
      <c r="AT49" s="41">
        <f t="shared" si="39"/>
        <v>10.700000000000003</v>
      </c>
      <c r="AU49" s="41">
        <f t="shared" si="40"/>
        <v>2.1790000000000003</v>
      </c>
      <c r="AV49" s="41">
        <f t="shared" si="41"/>
        <v>8.521000000000015</v>
      </c>
      <c r="AW49" s="41">
        <f t="shared" si="30"/>
        <v>0.50990745926340775</v>
      </c>
      <c r="AX49" s="41">
        <f t="shared" si="21"/>
        <v>9.4860968299459628E-2</v>
      </c>
      <c r="AY49" s="41">
        <f t="shared" si="21"/>
        <v>0.64371967046608736</v>
      </c>
      <c r="BA49">
        <f t="shared" si="31"/>
        <v>0.66830801009535301</v>
      </c>
    </row>
    <row r="50" spans="1:53">
      <c r="D50" s="2"/>
      <c r="E50" s="2">
        <v>40086</v>
      </c>
      <c r="F50" s="1">
        <f t="shared" si="34"/>
        <v>50.7</v>
      </c>
      <c r="G50" s="1">
        <f t="shared" si="32"/>
        <v>1.2225640365813675</v>
      </c>
      <c r="H50" s="1">
        <f t="shared" si="22"/>
        <v>2.9860000000000002</v>
      </c>
      <c r="I50" s="1">
        <f t="shared" si="35"/>
        <v>3.8533675156943303</v>
      </c>
      <c r="L50" s="1">
        <f t="shared" si="36"/>
        <v>44.900000000000006</v>
      </c>
      <c r="M50" s="1">
        <f t="shared" si="37"/>
        <v>1.0827046398915883</v>
      </c>
      <c r="N50" s="1">
        <f t="shared" si="23"/>
        <v>1.35</v>
      </c>
      <c r="O50" s="1">
        <f t="shared" si="42"/>
        <v>2.273920880663173</v>
      </c>
      <c r="W50" s="2">
        <v>40178</v>
      </c>
      <c r="X50" s="28">
        <v>50.7</v>
      </c>
      <c r="Y50" s="27">
        <v>4.2789999999999999</v>
      </c>
      <c r="Z50" s="30">
        <f t="shared" si="12"/>
        <v>46.421000000000006</v>
      </c>
      <c r="AA50">
        <v>59.900000000000006</v>
      </c>
      <c r="AB50">
        <v>2.5</v>
      </c>
      <c r="AC50">
        <f t="shared" si="13"/>
        <v>57.400000000000006</v>
      </c>
      <c r="AD50" s="32">
        <f t="shared" si="14"/>
        <v>110.60000000000001</v>
      </c>
      <c r="AE50" s="32">
        <f t="shared" si="15"/>
        <v>6.7789999999999999</v>
      </c>
      <c r="AF50" s="32">
        <f t="shared" si="16"/>
        <v>103.82100000000001</v>
      </c>
      <c r="AG50" s="32">
        <f t="shared" si="17"/>
        <v>50.7</v>
      </c>
      <c r="AH50" s="32">
        <f t="shared" si="18"/>
        <v>59.900000000000006</v>
      </c>
      <c r="AI50" s="32">
        <f t="shared" si="19"/>
        <v>110.60000000000001</v>
      </c>
      <c r="AJ50" s="32">
        <f t="shared" si="24"/>
        <v>-50.7</v>
      </c>
      <c r="AK50" s="32">
        <f t="shared" si="25"/>
        <v>-59.900000000000006</v>
      </c>
      <c r="AL50" s="32">
        <f t="shared" si="20"/>
        <v>-110.60000000000001</v>
      </c>
      <c r="AM50" s="1">
        <v>1.2929999999999999</v>
      </c>
      <c r="AN50" s="1">
        <v>1.1499999999999999</v>
      </c>
      <c r="AO50">
        <f t="shared" si="26"/>
        <v>2.4429999999999996</v>
      </c>
      <c r="AQ50" s="41">
        <f t="shared" si="27"/>
        <v>0.33333333333333331</v>
      </c>
      <c r="AR50">
        <f t="shared" si="38"/>
        <v>5</v>
      </c>
      <c r="AS50" s="34">
        <f t="shared" si="28"/>
        <v>0.58991385977544875</v>
      </c>
      <c r="AT50" s="41">
        <f t="shared" si="39"/>
        <v>15</v>
      </c>
      <c r="AU50" s="41">
        <f t="shared" si="40"/>
        <v>2.4429999999999996</v>
      </c>
      <c r="AV50" s="41">
        <f t="shared" si="41"/>
        <v>12.557000000000002</v>
      </c>
      <c r="AW50" s="41">
        <f t="shared" si="30"/>
        <v>0.58991385977544875</v>
      </c>
      <c r="AX50" s="41">
        <f t="shared" si="21"/>
        <v>0.14830777308626308</v>
      </c>
      <c r="AY50" s="41">
        <f t="shared" si="21"/>
        <v>0.73228896287100786</v>
      </c>
      <c r="BA50">
        <f t="shared" si="31"/>
        <v>0.61512921033682677</v>
      </c>
    </row>
    <row r="51" spans="1:53">
      <c r="D51" s="2"/>
      <c r="E51" s="2">
        <v>40178</v>
      </c>
      <c r="F51" s="1">
        <f t="shared" si="34"/>
        <v>50.7</v>
      </c>
      <c r="G51" s="1">
        <f t="shared" si="32"/>
        <v>1.2225640365813675</v>
      </c>
      <c r="H51" s="1">
        <f t="shared" si="22"/>
        <v>4.2789999999999999</v>
      </c>
      <c r="I51" s="1">
        <f t="shared" si="35"/>
        <v>5.0759315522756978</v>
      </c>
      <c r="L51" s="1">
        <f t="shared" si="36"/>
        <v>59.900000000000006</v>
      </c>
      <c r="M51" s="1">
        <f t="shared" si="37"/>
        <v>1.4444099761582621</v>
      </c>
      <c r="N51" s="1">
        <f t="shared" si="23"/>
        <v>2.5</v>
      </c>
      <c r="O51" s="1">
        <f t="shared" si="42"/>
        <v>3.718330856821435</v>
      </c>
      <c r="W51" s="2" t="s">
        <v>11</v>
      </c>
      <c r="X51" s="28">
        <v>50.7</v>
      </c>
      <c r="Y51" s="27">
        <v>5.5720000000000001</v>
      </c>
      <c r="Z51" s="30">
        <f t="shared" si="12"/>
        <v>45.128</v>
      </c>
      <c r="AA51">
        <v>75.2</v>
      </c>
      <c r="AB51">
        <v>4.0270000000000001</v>
      </c>
      <c r="AC51">
        <f t="shared" si="13"/>
        <v>71.173000000000002</v>
      </c>
      <c r="AD51" s="32">
        <f t="shared" si="14"/>
        <v>125.9</v>
      </c>
      <c r="AE51" s="32">
        <f t="shared" si="15"/>
        <v>9.5990000000000002</v>
      </c>
      <c r="AF51" s="32">
        <f t="shared" si="16"/>
        <v>116.301</v>
      </c>
      <c r="AG51" s="32">
        <f t="shared" si="17"/>
        <v>50.7</v>
      </c>
      <c r="AH51" s="32">
        <f t="shared" si="18"/>
        <v>75.2</v>
      </c>
      <c r="AI51" s="32">
        <f t="shared" si="19"/>
        <v>125.9</v>
      </c>
      <c r="AJ51" s="32">
        <f t="shared" si="24"/>
        <v>-50.7</v>
      </c>
      <c r="AK51" s="32">
        <f t="shared" si="25"/>
        <v>-75.2</v>
      </c>
      <c r="AL51" s="32">
        <f t="shared" si="20"/>
        <v>-125.9</v>
      </c>
      <c r="AM51" s="1">
        <v>1.2929999999999999</v>
      </c>
      <c r="AN51" s="1">
        <v>1.5269999999999999</v>
      </c>
      <c r="AO51">
        <f t="shared" si="26"/>
        <v>2.82</v>
      </c>
      <c r="AQ51" s="41">
        <f t="shared" si="27"/>
        <v>0.4</v>
      </c>
      <c r="AR51">
        <f t="shared" si="38"/>
        <v>6</v>
      </c>
      <c r="AS51" s="34">
        <f t="shared" si="28"/>
        <v>0.67152038829773042</v>
      </c>
      <c r="AT51" s="41">
        <f t="shared" si="39"/>
        <v>15.299999999999997</v>
      </c>
      <c r="AU51" s="41">
        <f t="shared" si="40"/>
        <v>2.8200000000000003</v>
      </c>
      <c r="AV51" s="41">
        <f t="shared" si="41"/>
        <v>12.47999999999999</v>
      </c>
      <c r="AW51" s="41">
        <f t="shared" si="30"/>
        <v>0.67152038829773042</v>
      </c>
      <c r="AX51" s="41">
        <f t="shared" si="21"/>
        <v>0.21000240652825483</v>
      </c>
      <c r="AY51" s="41">
        <f t="shared" si="21"/>
        <v>0.82031514501749236</v>
      </c>
      <c r="BA51">
        <f t="shared" si="31"/>
        <v>0.54746601950378271</v>
      </c>
    </row>
    <row r="52" spans="1:53">
      <c r="D52" s="2"/>
      <c r="E52" s="2" t="s">
        <v>11</v>
      </c>
      <c r="F52" s="1">
        <f t="shared" si="34"/>
        <v>50.7</v>
      </c>
      <c r="G52" s="1">
        <f t="shared" si="32"/>
        <v>1.2225640365813675</v>
      </c>
      <c r="H52" s="1">
        <f t="shared" si="22"/>
        <v>5.5720000000000001</v>
      </c>
      <c r="I52" s="1">
        <f t="shared" si="35"/>
        <v>6.2984955888570653</v>
      </c>
      <c r="L52" s="1">
        <f t="shared" si="36"/>
        <v>75.2</v>
      </c>
      <c r="M52" s="1">
        <f t="shared" si="37"/>
        <v>1.8133494191502706</v>
      </c>
      <c r="N52" s="1">
        <f t="shared" si="23"/>
        <v>4.0270000000000001</v>
      </c>
      <c r="O52" s="1">
        <f t="shared" si="42"/>
        <v>5.5316802759717056</v>
      </c>
      <c r="W52" s="2">
        <v>40359</v>
      </c>
      <c r="X52" s="28">
        <v>61.300000000000004</v>
      </c>
      <c r="Y52" s="27">
        <v>6.8650000000000002</v>
      </c>
      <c r="Z52" s="30">
        <f t="shared" si="12"/>
        <v>54.435000000000002</v>
      </c>
      <c r="AA52">
        <v>83.600000000000009</v>
      </c>
      <c r="AB52">
        <v>5.9359999999999999</v>
      </c>
      <c r="AC52">
        <f t="shared" si="13"/>
        <v>77.664000000000016</v>
      </c>
      <c r="AD52" s="32">
        <f t="shared" si="14"/>
        <v>144.9</v>
      </c>
      <c r="AE52" s="32">
        <f t="shared" si="15"/>
        <v>12.801</v>
      </c>
      <c r="AF52" s="32">
        <f t="shared" si="16"/>
        <v>132.09900000000002</v>
      </c>
      <c r="AG52" s="32">
        <f t="shared" si="17"/>
        <v>61.300000000000004</v>
      </c>
      <c r="AH52" s="32">
        <f t="shared" si="18"/>
        <v>83.600000000000009</v>
      </c>
      <c r="AI52" s="32">
        <f t="shared" si="19"/>
        <v>144.9</v>
      </c>
      <c r="AJ52" s="32">
        <f t="shared" si="24"/>
        <v>-61.300000000000004</v>
      </c>
      <c r="AK52" s="32">
        <f t="shared" si="25"/>
        <v>-83.600000000000009</v>
      </c>
      <c r="AL52" s="32">
        <f t="shared" si="20"/>
        <v>-144.9</v>
      </c>
      <c r="AM52" s="1">
        <v>1.2929999999999999</v>
      </c>
      <c r="AN52" s="1">
        <v>1.909</v>
      </c>
      <c r="AO52">
        <f t="shared" si="26"/>
        <v>3.202</v>
      </c>
      <c r="AQ52" s="41">
        <f t="shared" si="27"/>
        <v>0.46666666666666667</v>
      </c>
      <c r="AR52">
        <f t="shared" si="38"/>
        <v>7</v>
      </c>
      <c r="AS52" s="34">
        <f t="shared" si="28"/>
        <v>0.77286182894631572</v>
      </c>
      <c r="AT52" s="41">
        <f t="shared" si="39"/>
        <v>19</v>
      </c>
      <c r="AU52" s="41">
        <f t="shared" si="40"/>
        <v>3.202</v>
      </c>
      <c r="AV52" s="41">
        <f t="shared" si="41"/>
        <v>15.798000000000016</v>
      </c>
      <c r="AW52" s="41">
        <f t="shared" si="30"/>
        <v>0.77286182894631572</v>
      </c>
      <c r="AX52" s="41">
        <f t="shared" si="21"/>
        <v>0.2800542562733816</v>
      </c>
      <c r="AY52" s="41">
        <f t="shared" si="21"/>
        <v>0.93174444193657602</v>
      </c>
      <c r="BA52">
        <f t="shared" si="31"/>
        <v>0.42588407072565804</v>
      </c>
    </row>
    <row r="53" spans="1:53">
      <c r="D53" s="2"/>
      <c r="E53" s="2">
        <v>40359</v>
      </c>
      <c r="F53" s="1">
        <f t="shared" si="34"/>
        <v>61.300000000000004</v>
      </c>
      <c r="G53" s="1">
        <f t="shared" si="32"/>
        <v>1.4781691408764885</v>
      </c>
      <c r="H53" s="1">
        <f t="shared" si="22"/>
        <v>6.8650000000000002</v>
      </c>
      <c r="I53" s="1">
        <f t="shared" si="35"/>
        <v>7.7766647297335538</v>
      </c>
      <c r="L53" s="1">
        <f t="shared" si="36"/>
        <v>83.600000000000009</v>
      </c>
      <c r="M53" s="1">
        <f t="shared" si="37"/>
        <v>2.0159044074596153</v>
      </c>
      <c r="N53" s="1">
        <f t="shared" si="23"/>
        <v>5.9359999999999999</v>
      </c>
      <c r="O53" s="1">
        <f t="shared" si="42"/>
        <v>7.5475846834313209</v>
      </c>
      <c r="W53" s="2">
        <v>40451</v>
      </c>
      <c r="X53" s="28">
        <v>63.1</v>
      </c>
      <c r="Y53" s="27">
        <v>8.4250000000000007</v>
      </c>
      <c r="Z53" s="30">
        <f t="shared" si="12"/>
        <v>54.674999999999997</v>
      </c>
      <c r="AA53">
        <v>85.100000000000009</v>
      </c>
      <c r="AB53">
        <v>8.0530000000000008</v>
      </c>
      <c r="AC53">
        <f t="shared" si="13"/>
        <v>77.047000000000011</v>
      </c>
      <c r="AD53" s="32">
        <f t="shared" si="14"/>
        <v>148.20000000000002</v>
      </c>
      <c r="AE53" s="32">
        <f t="shared" si="15"/>
        <v>16.478000000000002</v>
      </c>
      <c r="AF53" s="32">
        <f t="shared" si="16"/>
        <v>131.72200000000001</v>
      </c>
      <c r="AG53" s="32">
        <f t="shared" si="17"/>
        <v>63.1</v>
      </c>
      <c r="AH53" s="32">
        <f t="shared" si="18"/>
        <v>85.100000000000009</v>
      </c>
      <c r="AI53" s="32">
        <f t="shared" si="19"/>
        <v>148.20000000000002</v>
      </c>
      <c r="AJ53" s="32">
        <f t="shared" si="24"/>
        <v>-63.1</v>
      </c>
      <c r="AK53" s="32">
        <f t="shared" si="25"/>
        <v>-85.100000000000009</v>
      </c>
      <c r="AL53" s="32">
        <f t="shared" si="20"/>
        <v>-148.20000000000002</v>
      </c>
      <c r="AM53" s="1">
        <v>1.56</v>
      </c>
      <c r="AN53" s="1">
        <v>2.117</v>
      </c>
      <c r="AO53">
        <f t="shared" si="26"/>
        <v>3.677</v>
      </c>
      <c r="AQ53" s="41">
        <f t="shared" si="27"/>
        <v>0.53333333333333333</v>
      </c>
      <c r="AR53">
        <f t="shared" si="38"/>
        <v>8</v>
      </c>
      <c r="AS53" s="34">
        <f t="shared" si="28"/>
        <v>0.79046323705896471</v>
      </c>
      <c r="AT53" s="41">
        <f t="shared" si="39"/>
        <v>3.3000000000000114</v>
      </c>
      <c r="AU53" s="41">
        <f t="shared" si="40"/>
        <v>3.6770000000000014</v>
      </c>
      <c r="AV53" s="41">
        <f t="shared" si="41"/>
        <v>-0.37700000000000955</v>
      </c>
      <c r="AW53" s="41">
        <f t="shared" si="30"/>
        <v>0.79046323705896471</v>
      </c>
      <c r="AX53" s="41">
        <f t="shared" si="21"/>
        <v>0.36049793257345381</v>
      </c>
      <c r="AY53" s="41">
        <f t="shared" si="21"/>
        <v>0.9290853176842343</v>
      </c>
      <c r="BA53">
        <f t="shared" si="31"/>
        <v>0.44900734915936136</v>
      </c>
    </row>
    <row r="54" spans="1:53">
      <c r="D54" s="2"/>
      <c r="E54" s="2">
        <v>40451</v>
      </c>
      <c r="F54" s="1">
        <f t="shared" si="34"/>
        <v>63.1</v>
      </c>
      <c r="G54" s="1">
        <f t="shared" si="32"/>
        <v>1.52157378122849</v>
      </c>
      <c r="H54" s="1">
        <f t="shared" si="22"/>
        <v>8.4250000000000007</v>
      </c>
      <c r="I54" s="1">
        <f t="shared" si="35"/>
        <v>9.2982385109620438</v>
      </c>
      <c r="L54" s="1">
        <f t="shared" si="36"/>
        <v>85.100000000000009</v>
      </c>
      <c r="M54" s="1">
        <f t="shared" si="37"/>
        <v>2.0520749410862749</v>
      </c>
      <c r="N54" s="1">
        <f t="shared" si="23"/>
        <v>8.0530000000000008</v>
      </c>
      <c r="O54" s="1">
        <f t="shared" si="42"/>
        <v>9.5996596245175958</v>
      </c>
      <c r="W54" s="2">
        <v>40543</v>
      </c>
      <c r="X54" s="28">
        <v>63.2</v>
      </c>
      <c r="Y54" s="27">
        <v>10.028</v>
      </c>
      <c r="Z54" s="30">
        <f t="shared" si="12"/>
        <v>53.172000000000004</v>
      </c>
      <c r="AA54">
        <v>87.600000000000009</v>
      </c>
      <c r="AB54">
        <v>10.206000000000001</v>
      </c>
      <c r="AC54">
        <f t="shared" si="13"/>
        <v>77.394000000000005</v>
      </c>
      <c r="AD54" s="32">
        <f t="shared" si="14"/>
        <v>150.80000000000001</v>
      </c>
      <c r="AE54" s="32">
        <f t="shared" si="15"/>
        <v>20.234000000000002</v>
      </c>
      <c r="AF54" s="32">
        <f t="shared" si="16"/>
        <v>130.566</v>
      </c>
      <c r="AG54" s="32">
        <f t="shared" si="17"/>
        <v>63.2</v>
      </c>
      <c r="AH54" s="32">
        <f t="shared" si="18"/>
        <v>87.600000000000009</v>
      </c>
      <c r="AI54" s="32">
        <f t="shared" si="19"/>
        <v>150.80000000000001</v>
      </c>
      <c r="AJ54" s="32">
        <f t="shared" si="24"/>
        <v>-63.2</v>
      </c>
      <c r="AK54" s="32">
        <f t="shared" si="25"/>
        <v>-87.600000000000009</v>
      </c>
      <c r="AL54" s="32">
        <f t="shared" si="20"/>
        <v>-150.80000000000001</v>
      </c>
      <c r="AM54" s="1">
        <v>1.603</v>
      </c>
      <c r="AN54" s="1">
        <v>2.153</v>
      </c>
      <c r="AO54">
        <f t="shared" si="26"/>
        <v>3.7560000000000002</v>
      </c>
      <c r="AQ54" s="41">
        <f t="shared" si="27"/>
        <v>0.6</v>
      </c>
      <c r="AR54">
        <f t="shared" si="38"/>
        <v>9</v>
      </c>
      <c r="AS54" s="34">
        <f t="shared" si="28"/>
        <v>0.80433101314771849</v>
      </c>
      <c r="AT54" s="41">
        <f t="shared" si="39"/>
        <v>2.5999999999999943</v>
      </c>
      <c r="AU54" s="41">
        <f t="shared" si="40"/>
        <v>3.7560000000000002</v>
      </c>
      <c r="AV54" s="41">
        <f t="shared" si="41"/>
        <v>-1.1560000000000059</v>
      </c>
      <c r="AW54" s="41">
        <f t="shared" si="30"/>
        <v>0.80433101314771849</v>
      </c>
      <c r="AX54" s="41">
        <f t="shared" si="21"/>
        <v>0.44266993371108537</v>
      </c>
      <c r="AY54" s="41">
        <f t="shared" si="21"/>
        <v>0.92093161042771687</v>
      </c>
      <c r="BA54">
        <f t="shared" si="31"/>
        <v>0.48917246713070378</v>
      </c>
    </row>
    <row r="55" spans="1:53">
      <c r="D55" s="2"/>
      <c r="E55" s="2">
        <v>40543</v>
      </c>
      <c r="F55" s="1">
        <f t="shared" si="34"/>
        <v>63.2</v>
      </c>
      <c r="G55" s="1">
        <f t="shared" si="32"/>
        <v>1.5239851501369372</v>
      </c>
      <c r="H55" s="1">
        <f t="shared" si="22"/>
        <v>10.028</v>
      </c>
      <c r="I55" s="1">
        <f t="shared" si="35"/>
        <v>10.822223661098981</v>
      </c>
      <c r="L55" s="1">
        <f t="shared" si="36"/>
        <v>87.600000000000009</v>
      </c>
      <c r="M55" s="1">
        <f t="shared" si="37"/>
        <v>2.1123591637973931</v>
      </c>
      <c r="N55" s="1">
        <f t="shared" si="23"/>
        <v>10.206000000000001</v>
      </c>
      <c r="O55" s="1">
        <f t="shared" si="42"/>
        <v>11.712018788314989</v>
      </c>
      <c r="W55" s="2">
        <v>40633</v>
      </c>
      <c r="X55" s="28">
        <v>63.7</v>
      </c>
      <c r="Y55" s="27">
        <v>11.633000000000001</v>
      </c>
      <c r="Z55" s="30">
        <f t="shared" si="12"/>
        <v>52.067</v>
      </c>
      <c r="AA55">
        <v>90.2</v>
      </c>
      <c r="AB55">
        <v>12.422000000000001</v>
      </c>
      <c r="AC55">
        <f t="shared" si="13"/>
        <v>77.778000000000006</v>
      </c>
      <c r="AD55" s="32">
        <f t="shared" si="14"/>
        <v>153.9</v>
      </c>
      <c r="AE55" s="32">
        <f t="shared" si="15"/>
        <v>24.055</v>
      </c>
      <c r="AF55" s="32">
        <f t="shared" si="16"/>
        <v>129.845</v>
      </c>
      <c r="AG55" s="32">
        <f t="shared" si="17"/>
        <v>63.7</v>
      </c>
      <c r="AH55" s="32">
        <f t="shared" si="18"/>
        <v>90.2</v>
      </c>
      <c r="AI55" s="32">
        <f t="shared" si="19"/>
        <v>153.9</v>
      </c>
      <c r="AJ55" s="32">
        <f t="shared" si="24"/>
        <v>-63.7</v>
      </c>
      <c r="AK55" s="32">
        <f t="shared" si="25"/>
        <v>-90.2</v>
      </c>
      <c r="AL55" s="32">
        <f t="shared" si="20"/>
        <v>-153.9</v>
      </c>
      <c r="AM55" s="1">
        <v>1.605</v>
      </c>
      <c r="AN55" s="1">
        <v>2.2160000000000002</v>
      </c>
      <c r="AO55">
        <f t="shared" si="26"/>
        <v>3.8210000000000002</v>
      </c>
      <c r="AQ55" s="41">
        <f t="shared" si="27"/>
        <v>0.66666666666666663</v>
      </c>
      <c r="AR55">
        <f t="shared" si="38"/>
        <v>10</v>
      </c>
      <c r="AS55" s="34">
        <f t="shared" si="28"/>
        <v>0.82086566925354021</v>
      </c>
      <c r="AT55" s="41">
        <f t="shared" si="39"/>
        <v>3.0999999999999943</v>
      </c>
      <c r="AU55" s="41">
        <f t="shared" si="40"/>
        <v>3.820999999999998</v>
      </c>
      <c r="AV55" s="41">
        <f t="shared" si="41"/>
        <v>-0.72100000000000364</v>
      </c>
      <c r="AW55" s="41">
        <f t="shared" si="30"/>
        <v>0.82086566925354021</v>
      </c>
      <c r="AX55" s="41">
        <f t="shared" si="21"/>
        <v>0.5262639742720252</v>
      </c>
      <c r="AY55" s="41">
        <f t="shared" si="21"/>
        <v>0.91584612346236305</v>
      </c>
      <c r="BA55">
        <f t="shared" si="31"/>
        <v>0.53740299223937926</v>
      </c>
    </row>
    <row r="56" spans="1:53">
      <c r="C56">
        <f>F63-H63</f>
        <v>47.580000000000013</v>
      </c>
      <c r="D56" s="2"/>
      <c r="E56" s="2">
        <v>40633</v>
      </c>
      <c r="F56" s="1">
        <f t="shared" si="34"/>
        <v>63.7</v>
      </c>
      <c r="G56" s="1">
        <f t="shared" si="32"/>
        <v>1.5360419946791524</v>
      </c>
      <c r="H56" s="1">
        <f t="shared" si="22"/>
        <v>11.633000000000001</v>
      </c>
      <c r="I56" s="1">
        <f t="shared" si="35"/>
        <v>12.358265655778133</v>
      </c>
      <c r="L56" s="1">
        <f t="shared" si="36"/>
        <v>90.2</v>
      </c>
      <c r="M56" s="1">
        <f t="shared" si="37"/>
        <v>2.1750547554169515</v>
      </c>
      <c r="N56" s="1">
        <f t="shared" si="23"/>
        <v>12.422000000000001</v>
      </c>
      <c r="O56" s="1">
        <f t="shared" si="42"/>
        <v>13.88707354373194</v>
      </c>
      <c r="W56" s="2">
        <v>40724</v>
      </c>
      <c r="X56" s="28">
        <v>63.7</v>
      </c>
      <c r="Y56" s="27">
        <v>13.251000000000001</v>
      </c>
      <c r="Z56" s="30">
        <f t="shared" si="12"/>
        <v>50.448999999999998</v>
      </c>
      <c r="AA56">
        <v>98.7</v>
      </c>
      <c r="AB56">
        <v>14.703000000000001</v>
      </c>
      <c r="AC56">
        <f t="shared" si="13"/>
        <v>83.997</v>
      </c>
      <c r="AD56" s="32">
        <f t="shared" si="14"/>
        <v>162.4</v>
      </c>
      <c r="AE56" s="32">
        <f t="shared" si="15"/>
        <v>27.954000000000001</v>
      </c>
      <c r="AF56" s="32">
        <f t="shared" si="16"/>
        <v>134.446</v>
      </c>
      <c r="AG56" s="32">
        <f t="shared" si="17"/>
        <v>63.7</v>
      </c>
      <c r="AH56" s="32">
        <f t="shared" si="18"/>
        <v>98.7</v>
      </c>
      <c r="AI56" s="32">
        <f t="shared" si="19"/>
        <v>162.4</v>
      </c>
      <c r="AJ56" s="32">
        <f t="shared" si="24"/>
        <v>-63.7</v>
      </c>
      <c r="AK56" s="32">
        <f t="shared" si="25"/>
        <v>-98.7</v>
      </c>
      <c r="AL56" s="32">
        <f t="shared" si="20"/>
        <v>-162.4</v>
      </c>
      <c r="AM56" s="1">
        <v>1.6180000000000001</v>
      </c>
      <c r="AN56" s="1">
        <v>2.2810000000000001</v>
      </c>
      <c r="AO56">
        <f t="shared" si="26"/>
        <v>3.899</v>
      </c>
      <c r="AQ56" s="41">
        <f t="shared" si="27"/>
        <v>0.73333333333333328</v>
      </c>
      <c r="AR56">
        <f t="shared" si="38"/>
        <v>11</v>
      </c>
      <c r="AS56" s="34">
        <f t="shared" si="28"/>
        <v>0.86620262954369676</v>
      </c>
      <c r="AT56" s="41">
        <f t="shared" si="39"/>
        <v>8.5</v>
      </c>
      <c r="AU56" s="41">
        <f t="shared" si="40"/>
        <v>3.8990000000000009</v>
      </c>
      <c r="AV56" s="41">
        <f t="shared" si="41"/>
        <v>4.6009999999999991</v>
      </c>
      <c r="AW56" s="41">
        <f t="shared" si="30"/>
        <v>0.86620262954369676</v>
      </c>
      <c r="AX56" s="41">
        <f t="shared" si="21"/>
        <v>0.61156446214093496</v>
      </c>
      <c r="AY56" s="41">
        <f t="shared" si="21"/>
        <v>0.94829872474889954</v>
      </c>
      <c r="BA56">
        <f t="shared" si="31"/>
        <v>0.50174013921113703</v>
      </c>
    </row>
    <row r="57" spans="1:53">
      <c r="D57" s="2"/>
      <c r="E57" s="2">
        <v>40724</v>
      </c>
      <c r="F57" s="1">
        <f t="shared" si="34"/>
        <v>63.7</v>
      </c>
      <c r="G57" s="1">
        <f t="shared" ref="G57:G76" si="43">F57*1.1^0.25-F57</f>
        <v>1.5360419946791524</v>
      </c>
      <c r="H57" s="1">
        <f t="shared" si="22"/>
        <v>13.251000000000001</v>
      </c>
      <c r="I57" s="1">
        <f t="shared" ref="I57:I71" si="44">I56+G57</f>
        <v>13.894307650457286</v>
      </c>
      <c r="L57" s="1">
        <f t="shared" si="36"/>
        <v>98.7</v>
      </c>
      <c r="M57" s="1">
        <f t="shared" si="37"/>
        <v>2.3800211126347364</v>
      </c>
      <c r="N57" s="1">
        <f t="shared" si="23"/>
        <v>14.703000000000001</v>
      </c>
      <c r="O57" s="1">
        <f t="shared" si="42"/>
        <v>16.267094656366677</v>
      </c>
      <c r="W57" s="2">
        <v>40816</v>
      </c>
      <c r="X57" s="28">
        <v>65.179000000000002</v>
      </c>
      <c r="Y57" s="27">
        <v>14.869000000000002</v>
      </c>
      <c r="Z57" s="30">
        <f t="shared" si="12"/>
        <v>50.31</v>
      </c>
      <c r="AA57">
        <v>103.78700000000001</v>
      </c>
      <c r="AB57">
        <v>17.198</v>
      </c>
      <c r="AC57">
        <f t="shared" si="13"/>
        <v>86.588999999999999</v>
      </c>
      <c r="AD57" s="32">
        <f t="shared" si="14"/>
        <v>168.96600000000001</v>
      </c>
      <c r="AE57" s="32">
        <f t="shared" si="15"/>
        <v>32.067</v>
      </c>
      <c r="AF57" s="32">
        <f t="shared" si="16"/>
        <v>136.899</v>
      </c>
      <c r="AG57" s="32">
        <f t="shared" si="17"/>
        <v>65.179000000000002</v>
      </c>
      <c r="AH57" s="32">
        <f t="shared" si="18"/>
        <v>103.78700000000001</v>
      </c>
      <c r="AI57" s="32">
        <f t="shared" si="19"/>
        <v>168.96600000000001</v>
      </c>
      <c r="AJ57" s="32">
        <f t="shared" si="24"/>
        <v>-65.179000000000002</v>
      </c>
      <c r="AK57" s="32">
        <f t="shared" si="25"/>
        <v>-103.78700000000001</v>
      </c>
      <c r="AL57" s="32">
        <f t="shared" si="20"/>
        <v>-168.96600000000001</v>
      </c>
      <c r="AM57" s="1">
        <v>1.6180000000000001</v>
      </c>
      <c r="AN57" s="1">
        <v>2.4950000000000001</v>
      </c>
      <c r="AO57">
        <f t="shared" si="26"/>
        <v>4.1130000000000004</v>
      </c>
      <c r="AQ57" s="41">
        <f t="shared" si="27"/>
        <v>0.8</v>
      </c>
      <c r="AR57">
        <f t="shared" si="38"/>
        <v>12</v>
      </c>
      <c r="AS57" s="34">
        <f t="shared" si="28"/>
        <v>0.9012240979278342</v>
      </c>
      <c r="AT57" s="41">
        <f t="shared" si="39"/>
        <v>6.5660000000000025</v>
      </c>
      <c r="AU57" s="41">
        <f t="shared" si="40"/>
        <v>4.1129999999999995</v>
      </c>
      <c r="AV57" s="41">
        <f t="shared" si="41"/>
        <v>2.453000000000003</v>
      </c>
      <c r="AW57" s="41">
        <f t="shared" si="30"/>
        <v>0.9012240979278342</v>
      </c>
      <c r="AX57" s="41">
        <f t="shared" si="21"/>
        <v>0.70154674134196759</v>
      </c>
      <c r="AY57" s="41">
        <f t="shared" si="21"/>
        <v>0.96560066583907</v>
      </c>
      <c r="BA57">
        <f t="shared" si="31"/>
        <v>0.49387951036082911</v>
      </c>
    </row>
    <row r="58" spans="1:53">
      <c r="D58" s="2"/>
      <c r="E58" s="2">
        <v>40816</v>
      </c>
      <c r="F58" s="1">
        <f t="shared" si="34"/>
        <v>65.179000000000002</v>
      </c>
      <c r="G58" s="1">
        <f t="shared" si="43"/>
        <v>1.5717061408350474</v>
      </c>
      <c r="H58" s="1">
        <f t="shared" si="22"/>
        <v>14.869000000000002</v>
      </c>
      <c r="I58" s="1">
        <f t="shared" si="44"/>
        <v>15.466013791292333</v>
      </c>
      <c r="L58" s="1">
        <f t="shared" si="36"/>
        <v>103.78700000000001</v>
      </c>
      <c r="M58" s="1">
        <f t="shared" si="37"/>
        <v>2.5026874490073112</v>
      </c>
      <c r="N58" s="1">
        <f t="shared" si="23"/>
        <v>17.198</v>
      </c>
      <c r="O58" s="1">
        <f t="shared" si="42"/>
        <v>18.769782105373988</v>
      </c>
      <c r="W58" s="2">
        <v>40908</v>
      </c>
      <c r="X58" s="28">
        <v>71.171000000000006</v>
      </c>
      <c r="Y58" s="27">
        <v>16.524000000000001</v>
      </c>
      <c r="Z58" s="30">
        <f t="shared" si="12"/>
        <v>54.647000000000006</v>
      </c>
      <c r="AA58">
        <v>111.578</v>
      </c>
      <c r="AB58">
        <v>19.818999999999999</v>
      </c>
      <c r="AC58">
        <f t="shared" si="13"/>
        <v>91.759</v>
      </c>
      <c r="AD58" s="32">
        <f t="shared" si="14"/>
        <v>182.74900000000002</v>
      </c>
      <c r="AE58" s="32">
        <f t="shared" si="15"/>
        <v>36.343000000000004</v>
      </c>
      <c r="AF58" s="32">
        <f t="shared" si="16"/>
        <v>146.40600000000001</v>
      </c>
      <c r="AG58" s="32">
        <f t="shared" si="17"/>
        <v>71.171000000000006</v>
      </c>
      <c r="AH58" s="32">
        <f t="shared" si="18"/>
        <v>111.578</v>
      </c>
      <c r="AI58" s="32">
        <f t="shared" si="19"/>
        <v>182.74900000000002</v>
      </c>
      <c r="AJ58" s="32">
        <f t="shared" si="24"/>
        <v>-71.171000000000006</v>
      </c>
      <c r="AK58" s="32">
        <f t="shared" si="25"/>
        <v>-111.578</v>
      </c>
      <c r="AL58" s="32">
        <f t="shared" si="20"/>
        <v>-182.74900000000002</v>
      </c>
      <c r="AM58" s="1">
        <v>1.655</v>
      </c>
      <c r="AN58" s="1">
        <v>2.621</v>
      </c>
      <c r="AO58">
        <f t="shared" si="26"/>
        <v>4.2759999999999998</v>
      </c>
      <c r="AQ58" s="41">
        <f t="shared" si="27"/>
        <v>0.8666666666666667</v>
      </c>
      <c r="AR58">
        <f t="shared" si="38"/>
        <v>13</v>
      </c>
      <c r="AS58" s="34">
        <f t="shared" si="28"/>
        <v>0.97473931247833168</v>
      </c>
      <c r="AT58" s="41">
        <f t="shared" si="39"/>
        <v>13.783000000000015</v>
      </c>
      <c r="AU58" s="41">
        <f t="shared" si="40"/>
        <v>4.2760000000000034</v>
      </c>
      <c r="AV58" s="41">
        <f t="shared" si="41"/>
        <v>9.507000000000005</v>
      </c>
      <c r="AW58" s="41">
        <f t="shared" si="30"/>
        <v>0.97473931247833168</v>
      </c>
      <c r="AX58" s="41">
        <f t="shared" si="21"/>
        <v>0.79509505786606582</v>
      </c>
      <c r="AY58" s="41">
        <f t="shared" si="21"/>
        <v>1.0326571493059473</v>
      </c>
      <c r="BA58">
        <f t="shared" si="31"/>
        <v>0.18945515641251248</v>
      </c>
    </row>
    <row r="59" spans="1:53">
      <c r="D59" s="2"/>
      <c r="E59" s="2">
        <v>40908</v>
      </c>
      <c r="F59" s="1">
        <f t="shared" si="34"/>
        <v>71.171000000000006</v>
      </c>
      <c r="G59" s="1">
        <f t="shared" si="43"/>
        <v>1.7161953658290372</v>
      </c>
      <c r="H59" s="1">
        <f t="shared" si="22"/>
        <v>16.524000000000001</v>
      </c>
      <c r="I59" s="1">
        <f t="shared" si="44"/>
        <v>17.18220915712137</v>
      </c>
      <c r="L59" s="1">
        <f t="shared" si="36"/>
        <v>111.578</v>
      </c>
      <c r="M59" s="1">
        <f t="shared" si="37"/>
        <v>2.690557200664216</v>
      </c>
      <c r="N59" s="1">
        <f t="shared" si="23"/>
        <v>19.818999999999999</v>
      </c>
      <c r="O59" s="1">
        <f t="shared" si="42"/>
        <v>21.460339306038204</v>
      </c>
      <c r="W59" s="2">
        <v>40999</v>
      </c>
      <c r="X59" s="28">
        <v>71.317000000000007</v>
      </c>
      <c r="Y59" s="27">
        <v>18.332000000000001</v>
      </c>
      <c r="Z59" s="30">
        <f t="shared" si="12"/>
        <v>52.985000000000007</v>
      </c>
      <c r="AA59">
        <v>116.149</v>
      </c>
      <c r="AB59">
        <v>22.637999999999998</v>
      </c>
      <c r="AC59">
        <f t="shared" si="13"/>
        <v>93.510999999999996</v>
      </c>
      <c r="AD59" s="32">
        <f t="shared" si="14"/>
        <v>187.46600000000001</v>
      </c>
      <c r="AE59" s="32">
        <f t="shared" si="15"/>
        <v>40.97</v>
      </c>
      <c r="AF59" s="32">
        <f t="shared" si="16"/>
        <v>146.49600000000001</v>
      </c>
      <c r="AG59" s="32">
        <f t="shared" si="17"/>
        <v>71.317000000000007</v>
      </c>
      <c r="AH59" s="32">
        <f t="shared" si="18"/>
        <v>116.149</v>
      </c>
      <c r="AI59" s="32">
        <f t="shared" si="19"/>
        <v>187.46600000000001</v>
      </c>
      <c r="AJ59" s="32">
        <f t="shared" si="24"/>
        <v>-71.317000000000007</v>
      </c>
      <c r="AK59" s="32">
        <f t="shared" si="25"/>
        <v>-116.149</v>
      </c>
      <c r="AL59" s="32">
        <f t="shared" si="20"/>
        <v>-187.46600000000001</v>
      </c>
      <c r="AM59" s="1">
        <v>1.8080000000000001</v>
      </c>
      <c r="AN59" s="1">
        <v>2.819</v>
      </c>
      <c r="AO59">
        <f t="shared" si="26"/>
        <v>4.6269999999999998</v>
      </c>
      <c r="AQ59" s="41">
        <f t="shared" si="27"/>
        <v>0.93333333333333335</v>
      </c>
      <c r="AR59">
        <f t="shared" si="38"/>
        <v>14</v>
      </c>
      <c r="AS59" s="34">
        <f t="shared" si="28"/>
        <v>0.99989865855935134</v>
      </c>
      <c r="AT59" s="41">
        <f t="shared" si="39"/>
        <v>4.7169999999999845</v>
      </c>
      <c r="AU59" s="41">
        <f t="shared" si="40"/>
        <v>4.6269999999999953</v>
      </c>
      <c r="AV59" s="41">
        <f t="shared" si="41"/>
        <v>9.0000000000003411E-2</v>
      </c>
      <c r="AW59" s="41">
        <f t="shared" si="30"/>
        <v>0.99989865855935134</v>
      </c>
      <c r="AX59" s="41">
        <f t="shared" si="21"/>
        <v>0.89632238727602875</v>
      </c>
      <c r="AY59" s="41">
        <f t="shared" si="21"/>
        <v>1.0332919535041192</v>
      </c>
      <c r="BA59">
        <f t="shared" si="31"/>
        <v>1.520121609729919E-3</v>
      </c>
    </row>
    <row r="60" spans="1:53">
      <c r="C60" s="51" t="s">
        <v>22</v>
      </c>
      <c r="D60" s="51"/>
      <c r="E60" s="2">
        <v>40999</v>
      </c>
      <c r="F60" s="1">
        <f t="shared" si="34"/>
        <v>71.317000000000007</v>
      </c>
      <c r="G60" s="1">
        <f t="shared" si="43"/>
        <v>1.7197159644353661</v>
      </c>
      <c r="H60" s="1">
        <f t="shared" si="22"/>
        <v>18.332000000000001</v>
      </c>
      <c r="I60" s="1">
        <f t="shared" si="44"/>
        <v>18.901925121556737</v>
      </c>
      <c r="L60" s="1">
        <f t="shared" si="36"/>
        <v>116.149</v>
      </c>
      <c r="M60" s="1">
        <f t="shared" si="37"/>
        <v>2.8007808734692219</v>
      </c>
      <c r="N60" s="1">
        <f t="shared" si="23"/>
        <v>22.637999999999998</v>
      </c>
      <c r="O60" s="1">
        <f t="shared" si="42"/>
        <v>24.261120179507426</v>
      </c>
      <c r="W60" s="23">
        <v>41090</v>
      </c>
      <c r="X60" s="29">
        <v>71.336000000000013</v>
      </c>
      <c r="Y60" s="25">
        <v>20.14</v>
      </c>
      <c r="Z60" s="31">
        <f t="shared" si="12"/>
        <v>51.196000000000012</v>
      </c>
      <c r="AA60" s="25">
        <v>116.149</v>
      </c>
      <c r="AB60" s="25">
        <v>25.568999999999999</v>
      </c>
      <c r="AC60" s="25">
        <f t="shared" si="13"/>
        <v>90.58</v>
      </c>
      <c r="AD60" s="33">
        <f t="shared" si="14"/>
        <v>187.48500000000001</v>
      </c>
      <c r="AE60" s="33">
        <f t="shared" si="15"/>
        <v>45.709000000000003</v>
      </c>
      <c r="AF60" s="33">
        <f t="shared" si="16"/>
        <v>141.77600000000001</v>
      </c>
      <c r="AG60" s="33">
        <f t="shared" si="17"/>
        <v>71.336000000000013</v>
      </c>
      <c r="AH60" s="33">
        <f t="shared" si="18"/>
        <v>116.149</v>
      </c>
      <c r="AI60" s="33">
        <f t="shared" si="19"/>
        <v>187.48500000000001</v>
      </c>
      <c r="AJ60" s="33">
        <f t="shared" si="24"/>
        <v>-71.336000000000013</v>
      </c>
      <c r="AK60" s="33">
        <f t="shared" si="25"/>
        <v>-116.149</v>
      </c>
      <c r="AL60" s="33">
        <f t="shared" si="20"/>
        <v>-187.48500000000001</v>
      </c>
      <c r="AM60" s="24">
        <v>1.8080000000000001</v>
      </c>
      <c r="AN60" s="24">
        <v>2.931</v>
      </c>
      <c r="AO60" s="25">
        <f t="shared" si="26"/>
        <v>4.7389999999999999</v>
      </c>
      <c r="AQ60" s="41">
        <f t="shared" si="27"/>
        <v>1</v>
      </c>
      <c r="AR60">
        <f t="shared" si="38"/>
        <v>15</v>
      </c>
      <c r="AS60" s="34">
        <f t="shared" si="28"/>
        <v>1</v>
      </c>
      <c r="AT60" s="41">
        <f t="shared" si="39"/>
        <v>1.9000000000005457E-2</v>
      </c>
      <c r="AU60" s="41">
        <f t="shared" si="40"/>
        <v>4.7390000000000043</v>
      </c>
      <c r="AV60" s="41">
        <f t="shared" si="41"/>
        <v>-4.7199999999999989</v>
      </c>
      <c r="AW60" s="41">
        <f t="shared" si="30"/>
        <v>1</v>
      </c>
      <c r="AX60" s="41">
        <f t="shared" si="21"/>
        <v>1</v>
      </c>
      <c r="AY60" s="41">
        <f t="shared" si="21"/>
        <v>1</v>
      </c>
      <c r="BA60" t="e">
        <f t="shared" si="31"/>
        <v>#DIV/0!</v>
      </c>
    </row>
    <row r="61" spans="1:53">
      <c r="C61" s="10" t="s">
        <v>6</v>
      </c>
      <c r="D61" s="4" t="s">
        <v>7</v>
      </c>
      <c r="E61" s="2">
        <v>41090</v>
      </c>
      <c r="F61" s="1">
        <f t="shared" si="34"/>
        <v>71.336000000000013</v>
      </c>
      <c r="G61" s="1">
        <f t="shared" si="43"/>
        <v>1.720174124527972</v>
      </c>
      <c r="H61" s="1">
        <f t="shared" si="22"/>
        <v>20.14</v>
      </c>
      <c r="I61" s="1">
        <f t="shared" si="44"/>
        <v>20.622099246084709</v>
      </c>
      <c r="L61" s="1">
        <f t="shared" si="36"/>
        <v>116.149</v>
      </c>
      <c r="M61" s="1">
        <f t="shared" si="37"/>
        <v>2.8007808734692219</v>
      </c>
      <c r="N61" s="1">
        <f t="shared" si="23"/>
        <v>25.568999999999999</v>
      </c>
      <c r="O61" s="1">
        <f t="shared" si="42"/>
        <v>27.061901052976648</v>
      </c>
      <c r="W61" s="2">
        <v>41182</v>
      </c>
      <c r="X61" s="28">
        <v>71.336000000000013</v>
      </c>
      <c r="Y61" s="27">
        <v>21.948</v>
      </c>
      <c r="Z61" s="30">
        <f t="shared" si="12"/>
        <v>49.388000000000012</v>
      </c>
      <c r="AA61">
        <v>116.149</v>
      </c>
      <c r="AB61">
        <v>28.497999999999998</v>
      </c>
      <c r="AC61">
        <f t="shared" si="13"/>
        <v>87.65100000000001</v>
      </c>
      <c r="AD61" s="32">
        <f t="shared" si="14"/>
        <v>187.48500000000001</v>
      </c>
      <c r="AE61" s="32">
        <f t="shared" si="15"/>
        <v>50.445999999999998</v>
      </c>
      <c r="AF61" s="32">
        <f t="shared" si="16"/>
        <v>137.03900000000002</v>
      </c>
      <c r="AG61" s="32">
        <f t="shared" si="17"/>
        <v>71.336000000000013</v>
      </c>
      <c r="AH61" s="32">
        <f t="shared" si="18"/>
        <v>116.149</v>
      </c>
      <c r="AI61" s="32">
        <f t="shared" si="19"/>
        <v>187.48500000000001</v>
      </c>
      <c r="AJ61" s="32">
        <f>(Y61-Y60)+AJ60</f>
        <v>-69.52800000000002</v>
      </c>
      <c r="AK61" s="32">
        <f>(AB61-AB60)+AK60</f>
        <v>-113.22</v>
      </c>
      <c r="AL61" s="32">
        <f t="shared" si="20"/>
        <v>-182.74800000000002</v>
      </c>
      <c r="AM61" s="1">
        <v>1.8080000000000001</v>
      </c>
      <c r="AN61" s="1">
        <v>2.9289999999999998</v>
      </c>
      <c r="AO61">
        <f t="shared" si="26"/>
        <v>4.7370000000000001</v>
      </c>
      <c r="AT61" s="41">
        <f t="shared" ref="AT61:AT74" si="45">(AD62-AD61)/1</f>
        <v>0</v>
      </c>
      <c r="AU61" s="41">
        <f t="shared" ref="AU61:AU74" si="46">(AE62-AE61)/1</f>
        <v>4.7369999999999948</v>
      </c>
      <c r="AV61" s="41">
        <f t="shared" ref="AV61:AV74" si="47">(AF62-AF61)/1</f>
        <v>-4.7369999999999948</v>
      </c>
    </row>
    <row r="62" spans="1:53">
      <c r="C62" s="11">
        <f>SUM(G47:G61)+SUM(K62)-(H62-F62)</f>
        <v>71.739780756085935</v>
      </c>
      <c r="D62" s="11">
        <f>SUM(M47:M61)+SUM(Q62)-(N62-L62)</f>
        <v>117.54658944211936</v>
      </c>
      <c r="E62" s="2">
        <v>41182</v>
      </c>
      <c r="F62" s="1">
        <f t="shared" si="34"/>
        <v>71.336000000000013</v>
      </c>
      <c r="G62" s="1">
        <f t="shared" si="43"/>
        <v>1.720174124527972</v>
      </c>
      <c r="H62" s="1">
        <f t="shared" si="22"/>
        <v>21.948</v>
      </c>
      <c r="I62" s="1">
        <f t="shared" si="44"/>
        <v>22.342273370612681</v>
      </c>
      <c r="J62" s="1">
        <f t="shared" ref="J62:J63" si="48">F62-(H62-I62)</f>
        <v>71.730273370612693</v>
      </c>
      <c r="K62" s="1">
        <f t="shared" ref="K62:K71" si="49">J62*1.1^0.25-J62</f>
        <v>1.729681510001214</v>
      </c>
      <c r="L62" s="1">
        <f t="shared" si="36"/>
        <v>116.149</v>
      </c>
      <c r="M62" s="1">
        <f t="shared" si="37"/>
        <v>2.8007808734692219</v>
      </c>
      <c r="N62" s="1">
        <f t="shared" si="23"/>
        <v>28.497999999999998</v>
      </c>
      <c r="O62" s="1">
        <f t="shared" si="42"/>
        <v>29.86268192644587</v>
      </c>
      <c r="P62" s="1">
        <f t="shared" ref="P62:P63" si="50">L62-(N62-O62)</f>
        <v>117.51368192644587</v>
      </c>
      <c r="Q62" s="1">
        <f t="shared" ref="Q62:Q63" si="51">P62*1.1^0.25-P62</f>
        <v>2.8336883891426936</v>
      </c>
      <c r="W62" s="2">
        <v>41274</v>
      </c>
      <c r="X62" s="28">
        <v>71.336000000000013</v>
      </c>
      <c r="Y62" s="27">
        <v>23.756</v>
      </c>
      <c r="Z62" s="30">
        <f t="shared" si="12"/>
        <v>47.580000000000013</v>
      </c>
      <c r="AA62">
        <v>116.149</v>
      </c>
      <c r="AB62">
        <v>31.426999999999996</v>
      </c>
      <c r="AC62">
        <f t="shared" si="13"/>
        <v>84.722000000000008</v>
      </c>
      <c r="AD62" s="32">
        <f t="shared" si="14"/>
        <v>187.48500000000001</v>
      </c>
      <c r="AE62" s="32">
        <f t="shared" si="15"/>
        <v>55.182999999999993</v>
      </c>
      <c r="AF62" s="32">
        <f t="shared" si="16"/>
        <v>132.30200000000002</v>
      </c>
      <c r="AG62" s="32">
        <f t="shared" si="17"/>
        <v>71.336000000000013</v>
      </c>
      <c r="AH62" s="32">
        <f t="shared" si="18"/>
        <v>116.149</v>
      </c>
      <c r="AI62" s="32">
        <f t="shared" si="19"/>
        <v>187.48500000000001</v>
      </c>
      <c r="AJ62" s="32">
        <f t="shared" ref="AJ62:AJ75" si="52">(Y62-Y61)+AJ61</f>
        <v>-67.720000000000027</v>
      </c>
      <c r="AK62" s="32">
        <f t="shared" ref="AK62:AK75" si="53">(AB62-AB61)+AK61</f>
        <v>-110.291</v>
      </c>
      <c r="AL62" s="32">
        <f t="shared" si="20"/>
        <v>-178.01100000000002</v>
      </c>
      <c r="AM62" s="1">
        <v>1.8080000000000001</v>
      </c>
      <c r="AN62" s="1">
        <v>2.9289999999999998</v>
      </c>
      <c r="AO62">
        <f t="shared" si="26"/>
        <v>4.7370000000000001</v>
      </c>
      <c r="AT62" s="41">
        <f t="shared" si="45"/>
        <v>0</v>
      </c>
      <c r="AU62" s="41">
        <f t="shared" si="46"/>
        <v>10.050000000000011</v>
      </c>
      <c r="AV62" s="41">
        <f t="shared" si="47"/>
        <v>-10.050000000000011</v>
      </c>
    </row>
    <row r="63" spans="1:53">
      <c r="C63" s="11">
        <f>SUM(G47:G61)+SUM(K62:K63)-(H63-F63)</f>
        <v>71.659344460232433</v>
      </c>
      <c r="D63" s="11">
        <f>SUM(M47:M61)+SUM(Q62:Q63)-(N63-L63)</f>
        <v>117.44818599511021</v>
      </c>
      <c r="E63" s="2">
        <v>41274</v>
      </c>
      <c r="F63" s="1">
        <f t="shared" si="34"/>
        <v>71.336000000000013</v>
      </c>
      <c r="G63" s="1">
        <f t="shared" si="43"/>
        <v>1.720174124527972</v>
      </c>
      <c r="H63" s="1">
        <f t="shared" si="22"/>
        <v>23.756</v>
      </c>
      <c r="I63" s="1">
        <f t="shared" si="44"/>
        <v>24.062447495140653</v>
      </c>
      <c r="J63" s="1">
        <f t="shared" si="48"/>
        <v>71.642447495140658</v>
      </c>
      <c r="K63" s="1">
        <f t="shared" si="49"/>
        <v>1.7275637041465046</v>
      </c>
      <c r="L63" s="1">
        <f t="shared" si="36"/>
        <v>116.149</v>
      </c>
      <c r="M63" s="1">
        <f t="shared" si="37"/>
        <v>2.8007808734692219</v>
      </c>
      <c r="N63" s="1">
        <f t="shared" si="23"/>
        <v>31.426999999999996</v>
      </c>
      <c r="O63" s="1">
        <f t="shared" si="42"/>
        <v>32.663462799915095</v>
      </c>
      <c r="P63" s="1">
        <f t="shared" si="50"/>
        <v>117.3854627999151</v>
      </c>
      <c r="Q63" s="1">
        <f t="shared" si="51"/>
        <v>2.8305965529908548</v>
      </c>
      <c r="W63" s="2">
        <v>41364</v>
      </c>
      <c r="X63" s="28">
        <v>71.336000000000013</v>
      </c>
      <c r="Y63" s="27">
        <v>29.582000000000001</v>
      </c>
      <c r="Z63" s="30">
        <f t="shared" si="12"/>
        <v>41.754000000000012</v>
      </c>
      <c r="AA63">
        <v>116.149</v>
      </c>
      <c r="AB63">
        <v>35.650999999999996</v>
      </c>
      <c r="AC63">
        <f t="shared" si="13"/>
        <v>80.498000000000005</v>
      </c>
      <c r="AD63" s="32">
        <f t="shared" si="14"/>
        <v>187.48500000000001</v>
      </c>
      <c r="AE63" s="32">
        <f t="shared" si="15"/>
        <v>65.233000000000004</v>
      </c>
      <c r="AF63" s="32">
        <f t="shared" si="16"/>
        <v>122.25200000000001</v>
      </c>
      <c r="AG63">
        <f>C64</f>
        <v>67.461901555782944</v>
      </c>
      <c r="AH63">
        <f>D64</f>
        <v>116.02046348458485</v>
      </c>
      <c r="AI63" s="32">
        <f t="shared" si="19"/>
        <v>183.4823650403678</v>
      </c>
      <c r="AJ63" s="32">
        <f t="shared" si="52"/>
        <v>-61.894000000000027</v>
      </c>
      <c r="AK63" s="32">
        <f t="shared" si="53"/>
        <v>-106.06699999999999</v>
      </c>
      <c r="AL63" s="32">
        <f t="shared" si="20"/>
        <v>-167.96100000000001</v>
      </c>
      <c r="AM63" s="1">
        <v>5.8259999999999996</v>
      </c>
      <c r="AN63" s="1">
        <v>4.2240000000000002</v>
      </c>
      <c r="AO63">
        <f t="shared" si="26"/>
        <v>10.050000000000001</v>
      </c>
      <c r="AT63" s="41">
        <f t="shared" si="45"/>
        <v>0</v>
      </c>
      <c r="AU63" s="41">
        <f t="shared" si="46"/>
        <v>66.338999999999999</v>
      </c>
      <c r="AV63" s="41">
        <f t="shared" si="47"/>
        <v>-66.338999999999999</v>
      </c>
    </row>
    <row r="64" spans="1:53">
      <c r="A64">
        <f>SUM(K64:K67)</f>
        <v>5.3147663387828352</v>
      </c>
      <c r="B64">
        <f>SUM(Q64:Q67)</f>
        <v>6.5938077388369649</v>
      </c>
      <c r="C64">
        <f>SUM(G47:G61)+SUM(K62:K64)-(H64-F64)</f>
        <v>67.461901555782944</v>
      </c>
      <c r="D64">
        <f>SUM(M47:M61)+SUM(Q62:Q64)-(N64-L64)</f>
        <v>116.02046348458485</v>
      </c>
      <c r="E64" s="2">
        <v>41364</v>
      </c>
      <c r="F64" s="1">
        <f t="shared" si="34"/>
        <v>71.336000000000013</v>
      </c>
      <c r="G64" s="1">
        <f t="shared" si="43"/>
        <v>1.720174124527972</v>
      </c>
      <c r="H64" s="1">
        <f t="shared" si="22"/>
        <v>29.582000000000001</v>
      </c>
      <c r="I64" s="1">
        <f t="shared" si="44"/>
        <v>25.782621619668625</v>
      </c>
      <c r="J64" s="1">
        <f>F64-(H64-I64)</f>
        <v>67.536621619668637</v>
      </c>
      <c r="K64" s="1">
        <f t="shared" si="49"/>
        <v>1.6285570955505051</v>
      </c>
      <c r="L64" s="1">
        <f t="shared" si="36"/>
        <v>116.149</v>
      </c>
      <c r="M64" s="1">
        <f t="shared" si="37"/>
        <v>2.8007808734692219</v>
      </c>
      <c r="N64" s="1">
        <f t="shared" si="23"/>
        <v>35.650999999999996</v>
      </c>
      <c r="O64" s="1">
        <f t="shared" si="42"/>
        <v>35.464243673384317</v>
      </c>
      <c r="P64" s="1">
        <f>L64-(N64-O64)</f>
        <v>115.96224367338432</v>
      </c>
      <c r="Q64" s="1">
        <f t="shared" ref="Q64:Q71" si="54">P64*1.1^0.25-P64</f>
        <v>2.7962774894746474</v>
      </c>
      <c r="R64">
        <f>(G64-K64)</f>
        <v>9.161702897746693E-2</v>
      </c>
      <c r="S64">
        <f>M64-Q64</f>
        <v>4.5033839945745058E-3</v>
      </c>
      <c r="T64">
        <f>R64+S64</f>
        <v>9.6120412972041436E-2</v>
      </c>
      <c r="W64" s="2">
        <v>41455</v>
      </c>
      <c r="X64" s="28">
        <v>71.336000000000013</v>
      </c>
      <c r="Y64" s="27">
        <v>36.552999999999997</v>
      </c>
      <c r="Z64" s="30">
        <f t="shared" si="12"/>
        <v>34.783000000000015</v>
      </c>
      <c r="AA64">
        <v>116.149</v>
      </c>
      <c r="AB64">
        <v>95.019000000000005</v>
      </c>
      <c r="AC64">
        <f t="shared" si="13"/>
        <v>21.129999999999995</v>
      </c>
      <c r="AD64" s="32">
        <f t="shared" si="14"/>
        <v>187.48500000000001</v>
      </c>
      <c r="AE64" s="32">
        <f t="shared" si="15"/>
        <v>131.572</v>
      </c>
      <c r="AF64" s="32">
        <f t="shared" si="16"/>
        <v>55.913000000000011</v>
      </c>
      <c r="AG64">
        <f t="shared" ref="AG64:AG75" si="55">C65</f>
        <v>61.992841868735759</v>
      </c>
      <c r="AH64">
        <f t="shared" ref="AH64:AH75" si="56">D65</f>
        <v>63.686258386609097</v>
      </c>
      <c r="AI64" s="32">
        <f t="shared" si="19"/>
        <v>125.67910025534485</v>
      </c>
      <c r="AJ64" s="32">
        <f t="shared" si="52"/>
        <v>-54.92300000000003</v>
      </c>
      <c r="AK64" s="32">
        <f t="shared" si="53"/>
        <v>-46.698999999999984</v>
      </c>
      <c r="AL64" s="32">
        <f t="shared" si="20"/>
        <v>-101.62200000000001</v>
      </c>
      <c r="AM64" s="1">
        <v>6.9710000000000001</v>
      </c>
      <c r="AN64" s="1">
        <v>59.368000000000002</v>
      </c>
      <c r="AO64">
        <f t="shared" si="26"/>
        <v>66.338999999999999</v>
      </c>
      <c r="AT64" s="41">
        <f t="shared" si="45"/>
        <v>0</v>
      </c>
      <c r="AU64" s="41">
        <f t="shared" si="46"/>
        <v>14.599999999999994</v>
      </c>
      <c r="AV64" s="41">
        <f t="shared" si="47"/>
        <v>-14.599999999999994</v>
      </c>
    </row>
    <row r="65" spans="1:48">
      <c r="C65">
        <f>SUM(G47:G61)+SUM(K62:K65)-(H65-F65)</f>
        <v>61.992841868735759</v>
      </c>
      <c r="D65">
        <f>SUM(M47:M63)+SUM(Q62:Q65)-(N65-L65)</f>
        <v>63.686258386609097</v>
      </c>
      <c r="E65" s="2">
        <v>41455</v>
      </c>
      <c r="F65" s="1">
        <f t="shared" si="34"/>
        <v>71.336000000000013</v>
      </c>
      <c r="G65" s="1">
        <f t="shared" si="43"/>
        <v>1.720174124527972</v>
      </c>
      <c r="H65" s="1">
        <f t="shared" si="22"/>
        <v>36.552999999999997</v>
      </c>
      <c r="I65" s="1">
        <f t="shared" si="44"/>
        <v>27.502795744196597</v>
      </c>
      <c r="J65" s="1">
        <f t="shared" ref="J65:J71" si="57">F65-(H65-I65)</f>
        <v>62.285795744196612</v>
      </c>
      <c r="K65" s="1">
        <f t="shared" si="49"/>
        <v>1.5019403129528115</v>
      </c>
      <c r="L65" s="1">
        <f t="shared" si="36"/>
        <v>116.149</v>
      </c>
      <c r="M65" s="1">
        <f t="shared" si="37"/>
        <v>2.8007808734692219</v>
      </c>
      <c r="N65" s="1">
        <f t="shared" si="23"/>
        <v>95.019000000000005</v>
      </c>
      <c r="O65" s="1">
        <f t="shared" si="42"/>
        <v>38.265024546853539</v>
      </c>
      <c r="P65" s="1">
        <f t="shared" ref="P65:P76" si="58">L65-(N65-O65)</f>
        <v>59.395024546853534</v>
      </c>
      <c r="Q65" s="1">
        <f t="shared" si="54"/>
        <v>1.4322331550858109</v>
      </c>
      <c r="R65">
        <f t="shared" ref="R65:R72" si="59">(G65-K65)</f>
        <v>0.21823381157516053</v>
      </c>
      <c r="S65">
        <f t="shared" ref="S65:S72" si="60">M65-Q65</f>
        <v>1.3685477183834109</v>
      </c>
      <c r="T65">
        <f t="shared" ref="T65:T72" si="61">R65+S65</f>
        <v>1.5867815299585715</v>
      </c>
      <c r="W65" s="2">
        <v>41547</v>
      </c>
      <c r="X65" s="28">
        <v>71.336000000000013</v>
      </c>
      <c r="Y65" s="27">
        <v>40.909999999999997</v>
      </c>
      <c r="Z65" s="30">
        <f t="shared" si="12"/>
        <v>30.426000000000016</v>
      </c>
      <c r="AA65">
        <v>116.149</v>
      </c>
      <c r="AB65">
        <v>105.262</v>
      </c>
      <c r="AC65">
        <f t="shared" si="13"/>
        <v>10.887</v>
      </c>
      <c r="AD65" s="32">
        <f t="shared" si="14"/>
        <v>187.48500000000001</v>
      </c>
      <c r="AE65" s="32">
        <f t="shared" si="15"/>
        <v>146.172</v>
      </c>
      <c r="AF65" s="32">
        <f t="shared" si="16"/>
        <v>41.313000000000017</v>
      </c>
      <c r="AG65">
        <f t="shared" si="55"/>
        <v>59.074198582357617</v>
      </c>
      <c r="AH65">
        <f t="shared" si="56"/>
        <v>54.69603218357944</v>
      </c>
      <c r="AI65" s="32">
        <f t="shared" si="19"/>
        <v>113.77023076593706</v>
      </c>
      <c r="AJ65" s="32">
        <f t="shared" si="52"/>
        <v>-50.566000000000031</v>
      </c>
      <c r="AK65" s="32">
        <f t="shared" si="53"/>
        <v>-36.455999999999989</v>
      </c>
      <c r="AL65" s="32">
        <f t="shared" si="20"/>
        <v>-87.02200000000002</v>
      </c>
      <c r="AM65" s="1">
        <v>4.3570000000000002</v>
      </c>
      <c r="AN65" s="1">
        <v>10.243</v>
      </c>
      <c r="AO65">
        <f t="shared" si="26"/>
        <v>14.600000000000001</v>
      </c>
      <c r="AT65" s="41">
        <f t="shared" si="45"/>
        <v>0</v>
      </c>
      <c r="AU65" s="41">
        <f t="shared" si="46"/>
        <v>39.053000000000026</v>
      </c>
      <c r="AV65" s="41">
        <f t="shared" si="47"/>
        <v>-39.053000000000011</v>
      </c>
    </row>
    <row r="66" spans="1:48">
      <c r="C66">
        <f>SUM(G47:G61)+SUM(K62:K66)-(H66-F66)</f>
        <v>59.074198582357617</v>
      </c>
      <c r="D66">
        <f>SUM(M47:M63)+SUM(Q62:Q66)-(N66-L66)</f>
        <v>54.69603218357944</v>
      </c>
      <c r="E66" s="2">
        <v>41547</v>
      </c>
      <c r="F66" s="1">
        <f t="shared" si="34"/>
        <v>71.336000000000013</v>
      </c>
      <c r="G66" s="1">
        <f t="shared" si="43"/>
        <v>1.720174124527972</v>
      </c>
      <c r="H66" s="1">
        <f t="shared" si="22"/>
        <v>40.909999999999997</v>
      </c>
      <c r="I66" s="1">
        <f t="shared" si="44"/>
        <v>29.222969868724569</v>
      </c>
      <c r="J66" s="1">
        <f t="shared" si="57"/>
        <v>59.648969868724585</v>
      </c>
      <c r="K66" s="1">
        <f t="shared" si="49"/>
        <v>1.4383567136218574</v>
      </c>
      <c r="L66" s="1">
        <f t="shared" si="36"/>
        <v>116.149</v>
      </c>
      <c r="M66" s="1">
        <f t="shared" si="37"/>
        <v>2.8007808734692219</v>
      </c>
      <c r="N66" s="1">
        <f t="shared" si="23"/>
        <v>105.262</v>
      </c>
      <c r="O66" s="1">
        <f t="shared" si="42"/>
        <v>41.065805420322761</v>
      </c>
      <c r="P66" s="1">
        <f t="shared" si="58"/>
        <v>51.952805420322761</v>
      </c>
      <c r="Q66" s="1">
        <f t="shared" si="54"/>
        <v>1.2527737969703381</v>
      </c>
      <c r="R66">
        <f t="shared" si="59"/>
        <v>0.28181741090611467</v>
      </c>
      <c r="S66">
        <f t="shared" si="60"/>
        <v>1.5480070764988838</v>
      </c>
      <c r="T66">
        <f t="shared" si="61"/>
        <v>1.8298244874049985</v>
      </c>
      <c r="W66" s="2">
        <v>41639</v>
      </c>
      <c r="X66" s="28">
        <v>71.336000000000013</v>
      </c>
      <c r="Y66" s="27">
        <v>71.346000000000004</v>
      </c>
      <c r="Z66" s="30">
        <f t="shared" si="12"/>
        <v>-9.9999999999909051E-3</v>
      </c>
      <c r="AA66">
        <v>116.149</v>
      </c>
      <c r="AB66">
        <v>113.879</v>
      </c>
      <c r="AC66">
        <f t="shared" si="13"/>
        <v>2.269999999999996</v>
      </c>
      <c r="AD66" s="32">
        <f t="shared" si="14"/>
        <v>187.48500000000001</v>
      </c>
      <c r="AE66" s="32">
        <f t="shared" si="15"/>
        <v>185.22500000000002</v>
      </c>
      <c r="AF66" s="32">
        <f t="shared" si="16"/>
        <v>2.2600000000000051</v>
      </c>
      <c r="AG66">
        <f t="shared" si="55"/>
        <v>29.384110799015271</v>
      </c>
      <c r="AH66">
        <f t="shared" si="56"/>
        <v>41.589993733947153</v>
      </c>
      <c r="AI66" s="32">
        <f t="shared" si="19"/>
        <v>70.974104532962428</v>
      </c>
      <c r="AJ66" s="32">
        <f t="shared" si="52"/>
        <v>-20.130000000000024</v>
      </c>
      <c r="AK66" s="32">
        <f t="shared" si="53"/>
        <v>-27.838999999999984</v>
      </c>
      <c r="AL66" s="32">
        <f t="shared" si="20"/>
        <v>-47.969000000000008</v>
      </c>
      <c r="AM66" s="1">
        <v>30.436</v>
      </c>
      <c r="AN66" s="1">
        <v>8.6170000000000009</v>
      </c>
      <c r="AO66">
        <f t="shared" si="26"/>
        <v>39.052999999999997</v>
      </c>
      <c r="AT66" s="41">
        <f t="shared" si="45"/>
        <v>0</v>
      </c>
      <c r="AU66" s="41">
        <f t="shared" si="46"/>
        <v>17.625999999999976</v>
      </c>
      <c r="AV66" s="41">
        <f t="shared" si="47"/>
        <v>-17.626000000000005</v>
      </c>
    </row>
    <row r="67" spans="1:48">
      <c r="C67">
        <f>SUM(G47:G61)+SUM(K62:K67)-(H67-F67)</f>
        <v>29.384110799015271</v>
      </c>
      <c r="D67">
        <f>SUM(M47:M61)+SUM(Q62:Q67)-(N67-L67)</f>
        <v>41.589993733947153</v>
      </c>
      <c r="E67" s="2">
        <v>41639</v>
      </c>
      <c r="F67" s="1">
        <f t="shared" si="34"/>
        <v>71.336000000000013</v>
      </c>
      <c r="G67" s="1">
        <f t="shared" si="43"/>
        <v>1.720174124527972</v>
      </c>
      <c r="H67" s="1">
        <f t="shared" si="22"/>
        <v>71.346000000000004</v>
      </c>
      <c r="I67" s="1">
        <f t="shared" si="44"/>
        <v>30.943143993252541</v>
      </c>
      <c r="J67" s="1">
        <f t="shared" si="57"/>
        <v>30.93314399325255</v>
      </c>
      <c r="K67" s="1">
        <f t="shared" si="49"/>
        <v>0.74591221665766128</v>
      </c>
      <c r="L67" s="1">
        <f t="shared" si="36"/>
        <v>116.149</v>
      </c>
      <c r="M67" s="1">
        <f t="shared" si="37"/>
        <v>2.8007808734692219</v>
      </c>
      <c r="N67" s="1">
        <f t="shared" si="23"/>
        <v>113.879</v>
      </c>
      <c r="O67" s="1">
        <f t="shared" si="42"/>
        <v>43.866586293791983</v>
      </c>
      <c r="P67" s="1">
        <f t="shared" si="58"/>
        <v>46.136586293791979</v>
      </c>
      <c r="Q67" s="1">
        <f t="shared" si="54"/>
        <v>1.1125232973061685</v>
      </c>
      <c r="R67">
        <f t="shared" si="59"/>
        <v>0.97426190787031075</v>
      </c>
      <c r="S67">
        <f t="shared" si="60"/>
        <v>1.6882575761630534</v>
      </c>
      <c r="T67">
        <f t="shared" si="61"/>
        <v>2.6625194840333641</v>
      </c>
      <c r="W67" s="2">
        <v>41729</v>
      </c>
      <c r="X67" s="28">
        <v>71.336000000000013</v>
      </c>
      <c r="Y67" s="27">
        <v>81.781000000000006</v>
      </c>
      <c r="Z67" s="30">
        <f t="shared" si="12"/>
        <v>-10.444999999999993</v>
      </c>
      <c r="AA67">
        <v>116.149</v>
      </c>
      <c r="AB67">
        <v>121.07000000000001</v>
      </c>
      <c r="AC67">
        <f t="shared" si="13"/>
        <v>-4.9210000000000065</v>
      </c>
      <c r="AD67" s="32">
        <f t="shared" si="14"/>
        <v>187.48500000000001</v>
      </c>
      <c r="AE67" s="32">
        <f t="shared" si="15"/>
        <v>202.851</v>
      </c>
      <c r="AF67" s="32">
        <f t="shared" si="16"/>
        <v>-15.366</v>
      </c>
      <c r="AG67">
        <f t="shared" si="55"/>
        <v>19.484876414086724</v>
      </c>
      <c r="AH67">
        <f t="shared" si="56"/>
        <v>35.40565265222358</v>
      </c>
      <c r="AI67" s="32">
        <f t="shared" si="19"/>
        <v>54.890529066310307</v>
      </c>
      <c r="AJ67" s="32">
        <f t="shared" si="52"/>
        <v>-9.6950000000000216</v>
      </c>
      <c r="AK67" s="32">
        <f t="shared" si="53"/>
        <v>-20.647999999999982</v>
      </c>
      <c r="AL67" s="32">
        <f t="shared" si="20"/>
        <v>-30.343000000000004</v>
      </c>
      <c r="AM67" s="1">
        <v>10.435</v>
      </c>
      <c r="AN67" s="1">
        <v>7.1909999999999998</v>
      </c>
      <c r="AO67">
        <f t="shared" si="26"/>
        <v>17.626000000000001</v>
      </c>
      <c r="AT67" s="41">
        <f t="shared" si="45"/>
        <v>0</v>
      </c>
      <c r="AU67" s="41">
        <f t="shared" si="46"/>
        <v>10.191000000000003</v>
      </c>
      <c r="AV67" s="41">
        <f t="shared" si="47"/>
        <v>-10.190999999999988</v>
      </c>
    </row>
    <row r="68" spans="1:48">
      <c r="A68">
        <f>SUM(K68:K71)</f>
        <v>1.9081479802444434</v>
      </c>
      <c r="B68">
        <f>SUM(Q68:Q71)</f>
        <v>3.7446426029470814</v>
      </c>
      <c r="C68">
        <f>SUM(G47:G61)+SUM(K62:K68)-(H68-F68)</f>
        <v>19.484876414086724</v>
      </c>
      <c r="D68">
        <f>SUM(M47:M61)+SUM(Q62:Q68)-(N68-L68)</f>
        <v>35.40565265222358</v>
      </c>
      <c r="E68" s="2">
        <v>41729</v>
      </c>
      <c r="F68" s="1">
        <f t="shared" si="34"/>
        <v>71.336000000000013</v>
      </c>
      <c r="G68" s="1">
        <f t="shared" si="43"/>
        <v>1.720174124527972</v>
      </c>
      <c r="H68" s="1">
        <f t="shared" si="22"/>
        <v>81.781000000000006</v>
      </c>
      <c r="I68" s="1">
        <f t="shared" si="44"/>
        <v>32.663318117780513</v>
      </c>
      <c r="J68" s="1">
        <f t="shared" si="57"/>
        <v>22.21831811778052</v>
      </c>
      <c r="K68" s="1">
        <f t="shared" si="49"/>
        <v>0.5357656150714547</v>
      </c>
      <c r="L68" s="1">
        <f t="shared" si="36"/>
        <v>116.149</v>
      </c>
      <c r="M68" s="1">
        <f t="shared" si="37"/>
        <v>2.8007808734692219</v>
      </c>
      <c r="N68" s="1">
        <f t="shared" si="23"/>
        <v>121.07000000000001</v>
      </c>
      <c r="O68" s="1">
        <f t="shared" si="42"/>
        <v>46.667367167261204</v>
      </c>
      <c r="P68" s="1">
        <f t="shared" si="58"/>
        <v>41.746367167261198</v>
      </c>
      <c r="Q68" s="1">
        <f t="shared" si="54"/>
        <v>1.0066589182764218</v>
      </c>
      <c r="R68">
        <f t="shared" si="59"/>
        <v>1.1844085094565173</v>
      </c>
      <c r="S68">
        <f t="shared" si="60"/>
        <v>1.7941219551928</v>
      </c>
      <c r="T68">
        <f t="shared" si="61"/>
        <v>2.9785304646493174</v>
      </c>
      <c r="W68" s="2">
        <v>41820</v>
      </c>
      <c r="X68" s="28">
        <v>71.336000000000013</v>
      </c>
      <c r="Y68" s="27">
        <v>86.28</v>
      </c>
      <c r="Z68" s="30">
        <f t="shared" si="12"/>
        <v>-14.943999999999988</v>
      </c>
      <c r="AA68">
        <v>116.149</v>
      </c>
      <c r="AB68">
        <v>126.762</v>
      </c>
      <c r="AC68">
        <f t="shared" si="13"/>
        <v>-10.613</v>
      </c>
      <c r="AD68" s="32">
        <f t="shared" si="14"/>
        <v>187.48500000000001</v>
      </c>
      <c r="AE68" s="32">
        <f t="shared" si="15"/>
        <v>213.042</v>
      </c>
      <c r="AF68" s="32">
        <f t="shared" si="16"/>
        <v>-25.556999999999988</v>
      </c>
      <c r="AG68">
        <f t="shared" si="55"/>
        <v>15.454634285977239</v>
      </c>
      <c r="AH68">
        <f t="shared" si="56"/>
        <v>30.650593611407842</v>
      </c>
      <c r="AI68" s="32">
        <f t="shared" si="19"/>
        <v>46.105227897385078</v>
      </c>
      <c r="AJ68" s="32">
        <f t="shared" si="52"/>
        <v>-5.1960000000000264</v>
      </c>
      <c r="AK68" s="32">
        <f t="shared" si="53"/>
        <v>-14.955999999999989</v>
      </c>
      <c r="AL68" s="32">
        <f t="shared" si="20"/>
        <v>-20.152000000000015</v>
      </c>
      <c r="AM68" s="1">
        <v>4.4989999999999997</v>
      </c>
      <c r="AN68" s="1">
        <v>5.6920000000000002</v>
      </c>
      <c r="AO68">
        <f t="shared" si="26"/>
        <v>10.190999999999999</v>
      </c>
      <c r="AT68" s="41">
        <f t="shared" si="45"/>
        <v>0</v>
      </c>
      <c r="AU68" s="41">
        <f t="shared" si="46"/>
        <v>5.6020000000000039</v>
      </c>
      <c r="AV68" s="41">
        <f t="shared" si="47"/>
        <v>-5.6019999999999897</v>
      </c>
    </row>
    <row r="69" spans="1:48">
      <c r="C69">
        <f>SUM(G47:G61)+SUM(K62:K69)-(H69-F69)</f>
        <v>15.454634285977239</v>
      </c>
      <c r="D69">
        <f>SUM(M47:M61)+SUM(Q62:Q69)-(N69-L69)</f>
        <v>30.650593611407842</v>
      </c>
      <c r="E69" s="2">
        <v>41820</v>
      </c>
      <c r="F69" s="1">
        <f t="shared" si="34"/>
        <v>71.336000000000013</v>
      </c>
      <c r="G69" s="1">
        <f t="shared" si="43"/>
        <v>1.720174124527972</v>
      </c>
      <c r="H69" s="1">
        <f t="shared" si="22"/>
        <v>86.28</v>
      </c>
      <c r="I69" s="1">
        <f t="shared" si="44"/>
        <v>34.383492242308485</v>
      </c>
      <c r="J69" s="1">
        <f t="shared" si="57"/>
        <v>19.439492242308496</v>
      </c>
      <c r="K69" s="1">
        <f t="shared" si="49"/>
        <v>0.4687578718905101</v>
      </c>
      <c r="L69" s="1">
        <f t="shared" si="36"/>
        <v>116.149</v>
      </c>
      <c r="M69" s="1">
        <f t="shared" si="37"/>
        <v>2.8007808734692219</v>
      </c>
      <c r="N69" s="1">
        <f t="shared" si="23"/>
        <v>126.762</v>
      </c>
      <c r="O69" s="1">
        <f t="shared" si="42"/>
        <v>49.468148040730426</v>
      </c>
      <c r="P69" s="1">
        <f t="shared" si="58"/>
        <v>38.855148040730427</v>
      </c>
      <c r="Q69" s="1">
        <f t="shared" si="54"/>
        <v>0.93694095918426257</v>
      </c>
      <c r="R69">
        <f t="shared" si="59"/>
        <v>1.2514162526374619</v>
      </c>
      <c r="S69">
        <f t="shared" si="60"/>
        <v>1.8638399142849593</v>
      </c>
      <c r="T69">
        <f t="shared" si="61"/>
        <v>3.1152561669224212</v>
      </c>
      <c r="W69" s="2">
        <v>41912</v>
      </c>
      <c r="X69" s="28">
        <v>71.336000000000013</v>
      </c>
      <c r="Y69" s="27">
        <v>88.17</v>
      </c>
      <c r="Z69" s="30">
        <f t="shared" si="12"/>
        <v>-16.833999999999989</v>
      </c>
      <c r="AA69">
        <v>116.149</v>
      </c>
      <c r="AB69">
        <v>130.47399999999999</v>
      </c>
      <c r="AC69">
        <f t="shared" si="13"/>
        <v>-14.324999999999989</v>
      </c>
      <c r="AD69" s="32">
        <f t="shared" si="14"/>
        <v>187.48500000000001</v>
      </c>
      <c r="AE69" s="32">
        <f t="shared" si="15"/>
        <v>218.64400000000001</v>
      </c>
      <c r="AF69" s="32">
        <f t="shared" si="16"/>
        <v>-31.158999999999978</v>
      </c>
      <c r="AG69">
        <f t="shared" si="55"/>
        <v>14.029297029508122</v>
      </c>
      <c r="AH69">
        <f t="shared" si="56"/>
        <v>27.853561715887153</v>
      </c>
      <c r="AI69" s="32">
        <f t="shared" si="19"/>
        <v>41.882858745395275</v>
      </c>
      <c r="AJ69" s="32">
        <f t="shared" si="52"/>
        <v>-3.3060000000000258</v>
      </c>
      <c r="AK69" s="32">
        <f t="shared" si="53"/>
        <v>-11.244</v>
      </c>
      <c r="AL69" s="32">
        <f t="shared" si="20"/>
        <v>-14.550000000000026</v>
      </c>
      <c r="AM69" s="1">
        <v>1.89</v>
      </c>
      <c r="AN69" s="1">
        <v>3.7120000000000002</v>
      </c>
      <c r="AO69">
        <f t="shared" si="26"/>
        <v>5.6020000000000003</v>
      </c>
      <c r="AT69" s="41">
        <f t="shared" si="45"/>
        <v>0</v>
      </c>
      <c r="AU69" s="41">
        <f t="shared" si="46"/>
        <v>6.7849999999999682</v>
      </c>
      <c r="AV69" s="41">
        <f t="shared" si="47"/>
        <v>-6.7849999999999966</v>
      </c>
    </row>
    <row r="70" spans="1:48">
      <c r="C70">
        <f>SUM(G47:G61)+SUM(K62:K70)-(H70-F70)</f>
        <v>14.029297029508122</v>
      </c>
      <c r="D70">
        <f>SUM(M47:M61)+SUM(Q62:Q70)-(N70-L70)</f>
        <v>27.853561715887153</v>
      </c>
      <c r="E70" s="2">
        <v>41912</v>
      </c>
      <c r="F70" s="1">
        <f t="shared" si="34"/>
        <v>71.336000000000013</v>
      </c>
      <c r="G70" s="1">
        <f t="shared" si="43"/>
        <v>1.720174124527972</v>
      </c>
      <c r="H70" s="1">
        <f t="shared" si="22"/>
        <v>88.17</v>
      </c>
      <c r="I70" s="1">
        <f t="shared" si="44"/>
        <v>36.103666366836457</v>
      </c>
      <c r="J70" s="1">
        <f t="shared" si="57"/>
        <v>19.269666366836468</v>
      </c>
      <c r="K70" s="1">
        <f t="shared" si="49"/>
        <v>0.46466274353088366</v>
      </c>
      <c r="L70" s="1">
        <f t="shared" si="36"/>
        <v>116.149</v>
      </c>
      <c r="M70" s="1">
        <f t="shared" si="37"/>
        <v>2.8007808734692219</v>
      </c>
      <c r="N70" s="1">
        <f t="shared" si="23"/>
        <v>130.47399999999999</v>
      </c>
      <c r="O70" s="1">
        <f t="shared" si="42"/>
        <v>52.268928914199648</v>
      </c>
      <c r="P70" s="1">
        <f t="shared" si="58"/>
        <v>37.94392891419966</v>
      </c>
      <c r="Q70" s="1">
        <f t="shared" si="54"/>
        <v>0.91496810447929988</v>
      </c>
      <c r="R70">
        <f t="shared" si="59"/>
        <v>1.2555113809970884</v>
      </c>
      <c r="S70">
        <f t="shared" si="60"/>
        <v>1.885812768989922</v>
      </c>
      <c r="T70">
        <f t="shared" si="61"/>
        <v>3.1413241499870104</v>
      </c>
      <c r="W70" s="2">
        <v>42004</v>
      </c>
      <c r="X70" s="28">
        <v>71.336000000000013</v>
      </c>
      <c r="Y70" s="27">
        <v>90.956000000000003</v>
      </c>
      <c r="Z70" s="30">
        <f t="shared" si="12"/>
        <v>-19.61999999999999</v>
      </c>
      <c r="AA70">
        <v>116.149</v>
      </c>
      <c r="AB70">
        <v>134.47299999999998</v>
      </c>
      <c r="AC70">
        <f t="shared" si="13"/>
        <v>-18.323999999999984</v>
      </c>
      <c r="AD70" s="32">
        <f t="shared" si="14"/>
        <v>187.48500000000001</v>
      </c>
      <c r="AE70" s="32">
        <f t="shared" si="15"/>
        <v>225.42899999999997</v>
      </c>
      <c r="AF70" s="32">
        <f t="shared" si="16"/>
        <v>-37.943999999999974</v>
      </c>
      <c r="AG70">
        <f t="shared" si="55"/>
        <v>11.682258779259715</v>
      </c>
      <c r="AH70">
        <f t="shared" si="56"/>
        <v>24.740636336894255</v>
      </c>
      <c r="AI70" s="32">
        <f t="shared" si="19"/>
        <v>36.422895116153967</v>
      </c>
      <c r="AJ70" s="32">
        <f t="shared" si="52"/>
        <v>-0.52000000000002444</v>
      </c>
      <c r="AK70" s="32">
        <f t="shared" si="53"/>
        <v>-7.2450000000000045</v>
      </c>
      <c r="AL70" s="32">
        <f t="shared" si="20"/>
        <v>-7.765000000000029</v>
      </c>
      <c r="AM70" s="1">
        <v>2.786</v>
      </c>
      <c r="AN70" s="1">
        <v>3.9990000000000001</v>
      </c>
      <c r="AO70">
        <f t="shared" si="26"/>
        <v>6.7850000000000001</v>
      </c>
      <c r="AT70" s="41">
        <f t="shared" si="45"/>
        <v>0</v>
      </c>
      <c r="AU70" s="41">
        <f t="shared" si="46"/>
        <v>2.771000000000015</v>
      </c>
      <c r="AV70" s="41">
        <f t="shared" si="47"/>
        <v>-2.7709999999999866</v>
      </c>
    </row>
    <row r="71" spans="1:48">
      <c r="C71">
        <f>SUM(G47:G61)+SUM(K62:K71)-(H71-F71)</f>
        <v>11.682258779259715</v>
      </c>
      <c r="D71">
        <f>SUM(M47:M61)+SUM(Q62:Q71)-(N71-L71)</f>
        <v>24.740636336894255</v>
      </c>
      <c r="E71" s="2">
        <v>42004</v>
      </c>
      <c r="F71" s="1">
        <f t="shared" si="34"/>
        <v>71.336000000000013</v>
      </c>
      <c r="G71" s="1">
        <f t="shared" si="43"/>
        <v>1.720174124527972</v>
      </c>
      <c r="H71" s="1">
        <f t="shared" si="22"/>
        <v>90.956000000000003</v>
      </c>
      <c r="I71" s="1">
        <f t="shared" si="44"/>
        <v>37.823840491364429</v>
      </c>
      <c r="J71" s="1">
        <f t="shared" si="57"/>
        <v>18.203840491364438</v>
      </c>
      <c r="K71" s="1">
        <f t="shared" si="49"/>
        <v>0.43896174975159497</v>
      </c>
      <c r="L71" s="1">
        <f t="shared" si="36"/>
        <v>116.149</v>
      </c>
      <c r="M71" s="1">
        <f t="shared" si="37"/>
        <v>2.8007808734692219</v>
      </c>
      <c r="N71" s="1">
        <f t="shared" si="23"/>
        <v>134.47299999999998</v>
      </c>
      <c r="O71" s="1">
        <f t="shared" si="42"/>
        <v>55.06970978766887</v>
      </c>
      <c r="P71" s="1">
        <f t="shared" si="58"/>
        <v>36.745709787668886</v>
      </c>
      <c r="Q71" s="1">
        <f t="shared" si="54"/>
        <v>0.88607462100709711</v>
      </c>
      <c r="R71">
        <f t="shared" si="59"/>
        <v>1.2812123747763771</v>
      </c>
      <c r="S71">
        <f t="shared" si="60"/>
        <v>1.9147062524621248</v>
      </c>
      <c r="T71">
        <f t="shared" si="61"/>
        <v>3.1959186272385018</v>
      </c>
      <c r="W71" s="2">
        <v>42094</v>
      </c>
      <c r="X71" s="28">
        <v>71.336000000000013</v>
      </c>
      <c r="Y71" s="27">
        <v>91.807000000000002</v>
      </c>
      <c r="Z71" s="30">
        <f t="shared" si="12"/>
        <v>-20.470999999999989</v>
      </c>
      <c r="AA71">
        <v>116.149</v>
      </c>
      <c r="AB71">
        <v>136.39299999999997</v>
      </c>
      <c r="AC71">
        <f t="shared" si="13"/>
        <v>-20.243999999999971</v>
      </c>
      <c r="AD71" s="32">
        <f t="shared" si="14"/>
        <v>187.48500000000001</v>
      </c>
      <c r="AE71" s="32">
        <f t="shared" si="15"/>
        <v>228.2</v>
      </c>
      <c r="AF71" s="32">
        <f t="shared" si="16"/>
        <v>-40.714999999999961</v>
      </c>
      <c r="AG71">
        <f t="shared" si="55"/>
        <v>11.291179523610424</v>
      </c>
      <c r="AH71">
        <f t="shared" si="56"/>
        <v>23.727949834035726</v>
      </c>
      <c r="AI71" s="32">
        <f t="shared" si="19"/>
        <v>35.01912935764615</v>
      </c>
      <c r="AJ71" s="32">
        <f t="shared" si="52"/>
        <v>0.33099999999997465</v>
      </c>
      <c r="AK71" s="32">
        <f t="shared" si="53"/>
        <v>-5.3250000000000171</v>
      </c>
      <c r="AL71" s="32">
        <f t="shared" si="20"/>
        <v>-4.9940000000000424</v>
      </c>
      <c r="AM71" s="1">
        <v>0.85099999999999998</v>
      </c>
      <c r="AN71" s="1">
        <v>1.92</v>
      </c>
      <c r="AO71">
        <f t="shared" si="26"/>
        <v>2.7709999999999999</v>
      </c>
      <c r="AT71" s="41">
        <f t="shared" si="45"/>
        <v>0</v>
      </c>
      <c r="AU71" s="41">
        <f t="shared" si="46"/>
        <v>2.5419999999999732</v>
      </c>
      <c r="AV71" s="41">
        <f t="shared" si="47"/>
        <v>-2.5419999999999874</v>
      </c>
    </row>
    <row r="72" spans="1:48">
      <c r="A72">
        <f>SUM(K72:K75)</f>
        <v>1.8458812745168238</v>
      </c>
      <c r="B72">
        <f>SUM(Q72:Q75)</f>
        <v>3.6412309020357014</v>
      </c>
      <c r="C72">
        <f>SUM(G47:G61)+SUM(K62:K72)-(H72-F72)</f>
        <v>11.291179523610424</v>
      </c>
      <c r="D72">
        <f>SUM(M47:M61)+SUM(Q62:Q72)-(N72-L72)</f>
        <v>23.727949834035726</v>
      </c>
      <c r="E72" s="2">
        <v>42094</v>
      </c>
      <c r="F72" s="1">
        <f t="shared" si="34"/>
        <v>71.336000000000013</v>
      </c>
      <c r="G72" s="1">
        <f t="shared" si="43"/>
        <v>1.720174124527972</v>
      </c>
      <c r="H72" s="1">
        <f t="shared" si="22"/>
        <v>91.807000000000002</v>
      </c>
      <c r="I72" s="1">
        <f>I71+G72</f>
        <v>39.544014615892401</v>
      </c>
      <c r="J72" s="1">
        <f>F72-(H72-I72)</f>
        <v>19.073014615892411</v>
      </c>
      <c r="K72" s="1">
        <f>J72*1.1^0.25-J72</f>
        <v>0.45992074435070762</v>
      </c>
      <c r="L72" s="1">
        <f t="shared" si="36"/>
        <v>116.149</v>
      </c>
      <c r="M72" s="1">
        <f t="shared" si="37"/>
        <v>2.8007808734692219</v>
      </c>
      <c r="N72" s="1">
        <f t="shared" si="23"/>
        <v>136.39299999999997</v>
      </c>
      <c r="O72" s="1">
        <f t="shared" si="42"/>
        <v>57.870490661138092</v>
      </c>
      <c r="P72" s="1">
        <f t="shared" si="58"/>
        <v>37.626490661138121</v>
      </c>
      <c r="Q72" s="1">
        <f>P72*1.1^0.25-P72</f>
        <v>0.90731349714145892</v>
      </c>
      <c r="R72">
        <f t="shared" si="59"/>
        <v>1.2602533801772644</v>
      </c>
      <c r="S72">
        <f t="shared" si="60"/>
        <v>1.893467376327763</v>
      </c>
      <c r="T72">
        <f t="shared" si="61"/>
        <v>3.1537207565050274</v>
      </c>
      <c r="W72" s="2">
        <v>42185</v>
      </c>
      <c r="X72" s="28">
        <v>71.336000000000013</v>
      </c>
      <c r="Y72" s="27">
        <v>92.552999999999997</v>
      </c>
      <c r="Z72" s="30">
        <f t="shared" si="12"/>
        <v>-21.216999999999985</v>
      </c>
      <c r="AA72">
        <v>116.149</v>
      </c>
      <c r="AB72">
        <v>138.18899999999996</v>
      </c>
      <c r="AC72">
        <f t="shared" si="13"/>
        <v>-22.039999999999964</v>
      </c>
      <c r="AD72" s="32">
        <f t="shared" si="14"/>
        <v>187.48500000000001</v>
      </c>
      <c r="AE72" s="32">
        <f t="shared" si="15"/>
        <v>230.74199999999996</v>
      </c>
      <c r="AF72" s="32">
        <f t="shared" si="16"/>
        <v>-43.256999999999948</v>
      </c>
      <c r="AG72">
        <f t="shared" si="55"/>
        <v>11.028591199914118</v>
      </c>
      <c r="AH72">
        <f t="shared" si="56"/>
        <v>22.86349230475804</v>
      </c>
      <c r="AI72" s="32">
        <f t="shared" si="19"/>
        <v>33.892083504672158</v>
      </c>
      <c r="AJ72" s="32">
        <f t="shared" si="52"/>
        <v>1.0769999999999698</v>
      </c>
      <c r="AK72" s="32">
        <f t="shared" si="53"/>
        <v>-3.5290000000000248</v>
      </c>
      <c r="AL72" s="32">
        <f t="shared" si="20"/>
        <v>-2.452000000000055</v>
      </c>
      <c r="AM72" s="1">
        <v>0.746</v>
      </c>
      <c r="AN72" s="1">
        <v>1.796</v>
      </c>
      <c r="AO72">
        <f t="shared" si="26"/>
        <v>2.5419999999999998</v>
      </c>
      <c r="AT72" s="41">
        <f t="shared" si="45"/>
        <v>0</v>
      </c>
      <c r="AU72" s="41">
        <f t="shared" si="46"/>
        <v>8.2719999999999914</v>
      </c>
      <c r="AV72" s="41">
        <f t="shared" si="47"/>
        <v>-8.2720000000000056</v>
      </c>
    </row>
    <row r="73" spans="1:48">
      <c r="C73">
        <f>SUM(G47:G61)+SUM(K62:K73)-(H73-F73)</f>
        <v>11.028591199914118</v>
      </c>
      <c r="D73">
        <f>SUM(M47:M61)+SUM(Q62:Q73)-(N73-L73)</f>
        <v>22.86349230475804</v>
      </c>
      <c r="E73" s="2">
        <v>42185</v>
      </c>
      <c r="F73" s="1">
        <f t="shared" si="34"/>
        <v>71.336000000000013</v>
      </c>
      <c r="G73" s="1">
        <f t="shared" si="43"/>
        <v>1.720174124527972</v>
      </c>
      <c r="H73" s="1">
        <f t="shared" si="22"/>
        <v>92.552999999999997</v>
      </c>
      <c r="I73" s="1">
        <f>I72+G73</f>
        <v>41.264188740420373</v>
      </c>
      <c r="J73" s="1">
        <f>F73-(H73-I73)</f>
        <v>20.047188740420388</v>
      </c>
      <c r="K73" s="1">
        <f>J73*1.1^0.25-J73</f>
        <v>0.48341167630368531</v>
      </c>
      <c r="L73" s="1">
        <f t="shared" si="36"/>
        <v>116.149</v>
      </c>
      <c r="M73" s="1">
        <f t="shared" si="37"/>
        <v>2.8007808734692219</v>
      </c>
      <c r="N73" s="1">
        <f t="shared" si="23"/>
        <v>138.18899999999996</v>
      </c>
      <c r="O73" s="1">
        <f t="shared" si="42"/>
        <v>60.671271534607314</v>
      </c>
      <c r="P73" s="1">
        <f t="shared" si="58"/>
        <v>38.63127153460735</v>
      </c>
      <c r="Q73" s="1">
        <f>P73*1.1^0.25-P73</f>
        <v>0.93154247072229879</v>
      </c>
      <c r="R73">
        <f t="shared" ref="R73:R76" si="62">(G73-K73)</f>
        <v>1.2367624482242867</v>
      </c>
      <c r="S73">
        <f t="shared" ref="S73:S76" si="63">M73-Q73</f>
        <v>1.8692384027469231</v>
      </c>
      <c r="T73">
        <f t="shared" ref="T73:T76" si="64">R73+S73</f>
        <v>3.1060008509712098</v>
      </c>
      <c r="W73" s="2">
        <v>42277</v>
      </c>
      <c r="X73" s="28">
        <v>71.336000000000013</v>
      </c>
      <c r="Y73" s="27">
        <v>96.465999999999994</v>
      </c>
      <c r="Z73" s="30">
        <f t="shared" si="12"/>
        <v>-25.129999999999981</v>
      </c>
      <c r="AA73">
        <v>116.149</v>
      </c>
      <c r="AB73">
        <v>142.54799999999997</v>
      </c>
      <c r="AC73">
        <f t="shared" si="13"/>
        <v>-26.398999999999972</v>
      </c>
      <c r="AD73" s="32">
        <f t="shared" si="14"/>
        <v>187.48500000000001</v>
      </c>
      <c r="AE73" s="32">
        <f t="shared" si="15"/>
        <v>239.01399999999995</v>
      </c>
      <c r="AF73" s="32">
        <f t="shared" si="16"/>
        <v>-51.528999999999954</v>
      </c>
      <c r="AG73">
        <f t="shared" si="55"/>
        <v>7.5461257548403466</v>
      </c>
      <c r="AH73">
        <f t="shared" si="56"/>
        <v>19.39846036393773</v>
      </c>
      <c r="AI73" s="32">
        <f t="shared" si="19"/>
        <v>26.944586118778076</v>
      </c>
      <c r="AJ73" s="32">
        <f t="shared" si="52"/>
        <v>4.9899999999999665</v>
      </c>
      <c r="AK73" s="32">
        <f t="shared" si="53"/>
        <v>0.82999999999998408</v>
      </c>
      <c r="AL73" s="32">
        <f t="shared" si="20"/>
        <v>5.8199999999999505</v>
      </c>
      <c r="AM73" s="1">
        <v>3.9129999999999998</v>
      </c>
      <c r="AN73" s="1">
        <v>4.359</v>
      </c>
      <c r="AO73">
        <f t="shared" si="26"/>
        <v>8.2720000000000002</v>
      </c>
      <c r="AT73" s="41">
        <f t="shared" si="45"/>
        <v>0</v>
      </c>
      <c r="AU73" s="41">
        <f t="shared" si="46"/>
        <v>2.2019999999999982</v>
      </c>
      <c r="AV73" s="41">
        <f t="shared" si="47"/>
        <v>-2.2019999999999982</v>
      </c>
    </row>
    <row r="74" spans="1:48">
      <c r="C74">
        <f>SUM(G47:G61)+SUM(K62:K74)-(H74-F74)</f>
        <v>7.5461257548403466</v>
      </c>
      <c r="D74">
        <f>SUM(M47:M61)+SUM(Q62:Q74)-(N74-L74)</f>
        <v>19.39846036393773</v>
      </c>
      <c r="E74" s="2">
        <v>42277</v>
      </c>
      <c r="F74" s="1">
        <f t="shared" si="34"/>
        <v>71.336000000000013</v>
      </c>
      <c r="G74" s="1">
        <f t="shared" si="43"/>
        <v>1.720174124527972</v>
      </c>
      <c r="H74" s="1">
        <f t="shared" ref="H74:H75" si="65">L35</f>
        <v>96.465999999999994</v>
      </c>
      <c r="I74" s="1">
        <f t="shared" ref="I74:I76" si="66">I73+G74</f>
        <v>42.984362864948345</v>
      </c>
      <c r="J74" s="1">
        <f t="shared" ref="J74:J76" si="67">F74-(H74-I74)</f>
        <v>17.854362864948364</v>
      </c>
      <c r="K74" s="1">
        <f t="shared" ref="K74:K76" si="68">J74*1.1^0.25-J74</f>
        <v>0.43053455492622916</v>
      </c>
      <c r="L74" s="1">
        <f t="shared" si="36"/>
        <v>116.149</v>
      </c>
      <c r="M74" s="1">
        <f t="shared" si="37"/>
        <v>2.8007808734692219</v>
      </c>
      <c r="N74" s="1">
        <f t="shared" ref="N74:N76" si="69">Q35</f>
        <v>142.54799999999997</v>
      </c>
      <c r="O74" s="1">
        <f t="shared" si="42"/>
        <v>63.472052408076536</v>
      </c>
      <c r="P74" s="1">
        <f t="shared" si="58"/>
        <v>37.073052408076563</v>
      </c>
      <c r="Q74" s="1">
        <f t="shared" ref="Q74:Q76" si="70">P74*1.1^0.25-P74</f>
        <v>0.89396805917969857</v>
      </c>
      <c r="R74">
        <f t="shared" si="62"/>
        <v>1.2896395696017429</v>
      </c>
      <c r="S74">
        <f t="shared" si="63"/>
        <v>1.9068128142895233</v>
      </c>
      <c r="T74">
        <f t="shared" si="64"/>
        <v>3.1964523838912662</v>
      </c>
      <c r="W74" s="2">
        <v>42369</v>
      </c>
      <c r="X74" s="28">
        <v>71.336000000000013</v>
      </c>
      <c r="Y74" s="27">
        <v>96.465999999999994</v>
      </c>
      <c r="Z74" s="30">
        <f t="shared" si="12"/>
        <v>-25.129999999999981</v>
      </c>
      <c r="AA74">
        <v>116.149</v>
      </c>
      <c r="AB74">
        <v>144.74999999999997</v>
      </c>
      <c r="AC74">
        <f t="shared" si="13"/>
        <v>-28.600999999999971</v>
      </c>
      <c r="AD74" s="32">
        <f t="shared" si="14"/>
        <v>187.48500000000001</v>
      </c>
      <c r="AE74" s="32">
        <f t="shared" si="15"/>
        <v>241.21599999999995</v>
      </c>
      <c r="AF74" s="32">
        <f t="shared" si="16"/>
        <v>-53.730999999999952</v>
      </c>
      <c r="AG74">
        <f t="shared" si="55"/>
        <v>8.0181400537765484</v>
      </c>
      <c r="AH74">
        <f t="shared" si="56"/>
        <v>18.10486723892997</v>
      </c>
      <c r="AI74" s="32">
        <f t="shared" si="19"/>
        <v>26.123007292706518</v>
      </c>
      <c r="AJ74" s="32">
        <f t="shared" si="52"/>
        <v>4.9899999999999665</v>
      </c>
      <c r="AK74" s="32">
        <f t="shared" si="53"/>
        <v>3.0319999999999823</v>
      </c>
      <c r="AL74" s="32">
        <f t="shared" si="20"/>
        <v>8.0219999999999487</v>
      </c>
      <c r="AM74" s="1">
        <v>0</v>
      </c>
      <c r="AN74" s="1">
        <v>2.202</v>
      </c>
      <c r="AO74">
        <f t="shared" si="26"/>
        <v>2.202</v>
      </c>
      <c r="AT74" s="41">
        <f t="shared" si="45"/>
        <v>0</v>
      </c>
      <c r="AU74" s="41">
        <f t="shared" si="46"/>
        <v>4.5590000000000259</v>
      </c>
      <c r="AV74" s="41">
        <f t="shared" si="47"/>
        <v>-4.5590000000000117</v>
      </c>
    </row>
    <row r="75" spans="1:48">
      <c r="C75">
        <f>SUM(G47:G61)+SUM(K62:K75)-(H75-F75)</f>
        <v>8.0181400537765484</v>
      </c>
      <c r="D75">
        <f>SUM(M47:M61)+SUM(Q62:Q75)-(N75-L75)</f>
        <v>18.10486723892997</v>
      </c>
      <c r="E75" s="2">
        <v>42369</v>
      </c>
      <c r="F75" s="1">
        <f t="shared" si="34"/>
        <v>71.336000000000013</v>
      </c>
      <c r="G75" s="1">
        <f t="shared" si="43"/>
        <v>1.720174124527972</v>
      </c>
      <c r="H75" s="1">
        <f t="shared" si="65"/>
        <v>96.465999999999994</v>
      </c>
      <c r="I75" s="1">
        <f t="shared" si="66"/>
        <v>44.704536989476317</v>
      </c>
      <c r="J75" s="1">
        <f t="shared" si="67"/>
        <v>19.574536989476336</v>
      </c>
      <c r="K75" s="1">
        <f t="shared" si="68"/>
        <v>0.47201429893620173</v>
      </c>
      <c r="L75" s="1">
        <f t="shared" si="36"/>
        <v>116.149</v>
      </c>
      <c r="M75" s="1">
        <f t="shared" si="37"/>
        <v>2.8007808734692219</v>
      </c>
      <c r="N75" s="1">
        <f t="shared" si="69"/>
        <v>144.74999999999997</v>
      </c>
      <c r="O75" s="1">
        <f t="shared" si="42"/>
        <v>66.272833281545758</v>
      </c>
      <c r="P75" s="1">
        <f t="shared" si="58"/>
        <v>37.671833281545787</v>
      </c>
      <c r="Q75" s="1">
        <f t="shared" si="70"/>
        <v>0.90840687499224515</v>
      </c>
      <c r="R75">
        <f t="shared" si="62"/>
        <v>1.2481598255917703</v>
      </c>
      <c r="S75">
        <f t="shared" si="63"/>
        <v>1.8923739984769767</v>
      </c>
      <c r="T75">
        <f t="shared" si="64"/>
        <v>3.140533824068747</v>
      </c>
      <c r="W75" s="2">
        <v>42460</v>
      </c>
      <c r="X75" s="28">
        <v>71.336000000000013</v>
      </c>
      <c r="Y75" s="27">
        <v>98.165999999999997</v>
      </c>
      <c r="Z75" s="30">
        <f t="shared" si="12"/>
        <v>-26.829999999999984</v>
      </c>
      <c r="AA75">
        <v>116.149</v>
      </c>
      <c r="AB75">
        <v>147.60899999999998</v>
      </c>
      <c r="AC75">
        <f t="shared" si="13"/>
        <v>-31.45999999999998</v>
      </c>
      <c r="AD75" s="32">
        <f t="shared" si="14"/>
        <v>187.48500000000001</v>
      </c>
      <c r="AE75" s="32">
        <f t="shared" si="15"/>
        <v>245.77499999999998</v>
      </c>
      <c r="AF75" s="32">
        <f t="shared" si="16"/>
        <v>-58.289999999999964</v>
      </c>
      <c r="AG75">
        <f t="shared" si="55"/>
        <v>6.7906408252791692</v>
      </c>
      <c r="AH75">
        <f t="shared" si="56"/>
        <v>16.152870236006279</v>
      </c>
      <c r="AI75" s="32">
        <f t="shared" si="19"/>
        <v>22.943511061285449</v>
      </c>
      <c r="AJ75" s="32">
        <f t="shared" si="52"/>
        <v>6.6899999999999693</v>
      </c>
      <c r="AK75" s="32">
        <f t="shared" si="53"/>
        <v>5.8909999999999911</v>
      </c>
      <c r="AL75" s="32">
        <f t="shared" si="20"/>
        <v>12.58099999999996</v>
      </c>
      <c r="AM75" s="1">
        <v>1.7</v>
      </c>
      <c r="AN75" s="1">
        <v>2.859</v>
      </c>
      <c r="AO75">
        <f t="shared" si="26"/>
        <v>4.5590000000000002</v>
      </c>
    </row>
    <row r="76" spans="1:48">
      <c r="C76">
        <f>SUM(G47:G61)+SUM(K62:K76)-(H76-F76)</f>
        <v>6.7906408252791692</v>
      </c>
      <c r="D76">
        <f>SUM(M47:M61)+SUM(Q62:Q76)-(N76-L76)</f>
        <v>16.152870236006279</v>
      </c>
      <c r="E76" s="2">
        <v>42460</v>
      </c>
      <c r="F76" s="1">
        <f t="shared" si="34"/>
        <v>71.336000000000013</v>
      </c>
      <c r="G76" s="1">
        <f t="shared" si="43"/>
        <v>1.720174124527972</v>
      </c>
      <c r="H76" s="1">
        <f>L37</f>
        <v>98.165999999999997</v>
      </c>
      <c r="I76" s="1">
        <f t="shared" si="66"/>
        <v>46.424711114004289</v>
      </c>
      <c r="J76" s="1">
        <f t="shared" si="67"/>
        <v>19.594711114004305</v>
      </c>
      <c r="K76" s="1">
        <f t="shared" si="68"/>
        <v>0.47250077150262015</v>
      </c>
      <c r="L76" s="1">
        <f t="shared" si="36"/>
        <v>116.149</v>
      </c>
      <c r="M76" s="1">
        <f t="shared" si="37"/>
        <v>2.8007808734692219</v>
      </c>
      <c r="N76" s="1">
        <f t="shared" si="69"/>
        <v>147.60899999999998</v>
      </c>
      <c r="O76" s="1">
        <f t="shared" si="42"/>
        <v>69.07361415501498</v>
      </c>
      <c r="P76" s="1">
        <f t="shared" si="58"/>
        <v>37.613614155015</v>
      </c>
      <c r="Q76" s="1">
        <f t="shared" si="70"/>
        <v>0.90700299707631871</v>
      </c>
      <c r="R76">
        <f t="shared" si="62"/>
        <v>1.2476733530253519</v>
      </c>
      <c r="S76">
        <f t="shared" si="63"/>
        <v>1.8937778763929032</v>
      </c>
      <c r="T76">
        <f t="shared" si="64"/>
        <v>3.1414512294182551</v>
      </c>
    </row>
    <row r="77" spans="1:48">
      <c r="D77"/>
      <c r="E77" s="2"/>
      <c r="Y77" s="32">
        <f>Y60</f>
        <v>20.14</v>
      </c>
      <c r="AB77" s="32">
        <f>AB60</f>
        <v>25.568999999999999</v>
      </c>
      <c r="AE77" s="32">
        <f>AE60</f>
        <v>45.709000000000003</v>
      </c>
      <c r="AH77">
        <f>(AE75-AF60)/AE75</f>
        <v>0.42314718746821273</v>
      </c>
    </row>
    <row r="78" spans="1:48">
      <c r="K78" s="1">
        <f>SUM(K62:K76)</f>
        <v>12.998541579194441</v>
      </c>
      <c r="Q78" s="1">
        <f>SUM(Q62:Q76)</f>
        <v>20.550969183029615</v>
      </c>
      <c r="R78">
        <f>K78+Q78</f>
        <v>33.54951076222406</v>
      </c>
      <c r="Y78" s="32">
        <f>Y75-Y60</f>
        <v>78.025999999999996</v>
      </c>
      <c r="AB78" s="32">
        <f>AB75-AB60</f>
        <v>122.03999999999998</v>
      </c>
      <c r="AE78" s="32">
        <f>AE75-AE60</f>
        <v>200.06599999999997</v>
      </c>
    </row>
    <row r="79" spans="1:48">
      <c r="G79" s="1">
        <f>SUM(G47:G76)</f>
        <v>46.424711114004289</v>
      </c>
      <c r="K79" s="1">
        <f>SUM(G47:G61)+SUM(K62:K76)</f>
        <v>33.620640825279153</v>
      </c>
      <c r="M79" s="1">
        <f>SUM(M47:M76)</f>
        <v>69.07361415501498</v>
      </c>
      <c r="N79" s="1">
        <f>M79-(N76-L76)</f>
        <v>37.613614155015</v>
      </c>
      <c r="Q79" s="1">
        <f>SUM(M47:M61)+SUM(Q62:Q76)</f>
        <v>47.612870236006259</v>
      </c>
      <c r="T79">
        <f>SUM(T64:T76)</f>
        <v>34.344434368020728</v>
      </c>
      <c r="AF79" s="32">
        <f>200-AI60</f>
        <v>12.514999999999986</v>
      </c>
    </row>
    <row r="80" spans="1:48">
      <c r="J80" s="5" t="s">
        <v>19</v>
      </c>
      <c r="K80" s="7">
        <f>K79-(H76-F76)</f>
        <v>6.7906408252791692</v>
      </c>
      <c r="P80" s="8" t="s">
        <v>19</v>
      </c>
      <c r="Q80" s="6">
        <f>Q79-(N76-L76)</f>
        <v>16.152870236006279</v>
      </c>
    </row>
    <row r="81" spans="6:19">
      <c r="H81" s="1">
        <f>F76+L76</f>
        <v>187.48500000000001</v>
      </c>
    </row>
    <row r="83" spans="6:19">
      <c r="F83" s="1">
        <f>200-F76</f>
        <v>128.66399999999999</v>
      </c>
      <c r="K83" s="9">
        <f>200-K80</f>
        <v>193.20935917472082</v>
      </c>
      <c r="L83" s="1">
        <f>200-L76</f>
        <v>83.850999999999999</v>
      </c>
      <c r="Q83" s="9">
        <f>200-Q80</f>
        <v>183.84712976399373</v>
      </c>
    </row>
    <row r="84" spans="6:19">
      <c r="N84" s="54" t="s">
        <v>6</v>
      </c>
      <c r="O84" s="54"/>
      <c r="P84" s="54" t="s">
        <v>7</v>
      </c>
      <c r="Q84" s="54"/>
    </row>
    <row r="85" spans="6:19">
      <c r="N85" s="3" t="s">
        <v>35</v>
      </c>
      <c r="O85" s="3" t="s">
        <v>16</v>
      </c>
      <c r="P85" s="3" t="s">
        <v>35</v>
      </c>
      <c r="Q85" s="3" t="s">
        <v>16</v>
      </c>
    </row>
    <row r="86" spans="6:19">
      <c r="I86" s="55" t="s">
        <v>26</v>
      </c>
      <c r="J86" s="12" t="s">
        <v>23</v>
      </c>
      <c r="K86" s="13">
        <f>F76+L76</f>
        <v>187.48500000000001</v>
      </c>
      <c r="M86" s="1">
        <v>2012</v>
      </c>
      <c r="N86" s="1">
        <f>H63-H61</f>
        <v>3.6159999999999997</v>
      </c>
      <c r="O86" s="1">
        <f>SUM(K62:K63)</f>
        <v>3.4572452141477186</v>
      </c>
      <c r="P86" s="1">
        <f>N63-N61</f>
        <v>5.857999999999997</v>
      </c>
      <c r="Q86" s="1">
        <f>SUM(Q62:Q63)</f>
        <v>5.6642849421335484</v>
      </c>
      <c r="R86">
        <f>N86+P86</f>
        <v>9.4739999999999966</v>
      </c>
      <c r="S86">
        <f>O86+Q86</f>
        <v>9.121530156281267</v>
      </c>
    </row>
    <row r="87" spans="6:19">
      <c r="I87" s="55"/>
      <c r="J87" s="12" t="s">
        <v>24</v>
      </c>
      <c r="K87" s="13">
        <f>L37+Q37</f>
        <v>245.77499999999998</v>
      </c>
      <c r="M87" s="1">
        <v>2013</v>
      </c>
      <c r="N87" s="1">
        <f>H67-H63</f>
        <v>47.59</v>
      </c>
      <c r="O87" s="1">
        <f>SUM(K64:K67)</f>
        <v>5.3147663387828352</v>
      </c>
      <c r="P87" s="1">
        <f>N67-N63</f>
        <v>82.452000000000012</v>
      </c>
      <c r="Q87" s="1">
        <f>SUM(Q64:Q67)</f>
        <v>6.5938077388369649</v>
      </c>
      <c r="R87">
        <f t="shared" ref="R87:R91" si="71">N87+P87</f>
        <v>130.04200000000003</v>
      </c>
      <c r="S87">
        <f t="shared" ref="S87:S91" si="72">O87+Q87</f>
        <v>11.9085740776198</v>
      </c>
    </row>
    <row r="88" spans="6:19">
      <c r="I88" s="55"/>
      <c r="J88" s="12" t="s">
        <v>25</v>
      </c>
      <c r="K88" s="15">
        <f>K87-K86</f>
        <v>58.289999999999964</v>
      </c>
      <c r="M88" s="1">
        <v>2014</v>
      </c>
      <c r="N88" s="1">
        <f>H71-H67</f>
        <v>19.61</v>
      </c>
      <c r="O88" s="1">
        <f>SUM(K68:K71)</f>
        <v>1.9081479802444434</v>
      </c>
      <c r="P88" s="1">
        <f>N71-N67</f>
        <v>20.59399999999998</v>
      </c>
      <c r="Q88" s="1">
        <f>SUM(Q68:Q71)</f>
        <v>3.7446426029470814</v>
      </c>
      <c r="R88">
        <f t="shared" si="71"/>
        <v>40.203999999999979</v>
      </c>
      <c r="S88">
        <f t="shared" si="72"/>
        <v>5.6527905831915248</v>
      </c>
    </row>
    <row r="89" spans="6:19">
      <c r="I89" s="56" t="s">
        <v>6</v>
      </c>
      <c r="J89" s="16" t="s">
        <v>23</v>
      </c>
      <c r="K89" s="17">
        <f>J37</f>
        <v>71.336000000000013</v>
      </c>
      <c r="M89" s="1">
        <v>2015</v>
      </c>
      <c r="N89" s="1">
        <f>H75-H71</f>
        <v>5.5099999999999909</v>
      </c>
      <c r="O89" s="1">
        <f>SUM(K72:K75)</f>
        <v>1.8458812745168238</v>
      </c>
      <c r="P89" s="1">
        <f>N75-N71</f>
        <v>10.276999999999987</v>
      </c>
      <c r="Q89" s="1">
        <f>SUM(Q72:Q75)</f>
        <v>3.6412309020357014</v>
      </c>
      <c r="R89">
        <f t="shared" si="71"/>
        <v>15.786999999999978</v>
      </c>
      <c r="S89">
        <f t="shared" si="72"/>
        <v>5.4871121765525253</v>
      </c>
    </row>
    <row r="90" spans="6:19">
      <c r="I90" s="57"/>
      <c r="J90" s="18" t="s">
        <v>24</v>
      </c>
      <c r="K90" s="19">
        <f>L37</f>
        <v>98.165999999999997</v>
      </c>
      <c r="M90" s="1">
        <v>2016</v>
      </c>
      <c r="N90" s="1">
        <f>H76-H75</f>
        <v>1.7000000000000028</v>
      </c>
      <c r="O90" s="1">
        <f>K76</f>
        <v>0.47250077150262015</v>
      </c>
      <c r="P90" s="1">
        <f>N76-N75</f>
        <v>2.8590000000000089</v>
      </c>
      <c r="Q90" s="1">
        <f>Q76</f>
        <v>0.90700299707631871</v>
      </c>
      <c r="R90">
        <f t="shared" si="71"/>
        <v>4.5590000000000117</v>
      </c>
      <c r="S90">
        <f t="shared" si="72"/>
        <v>1.3795037685789389</v>
      </c>
    </row>
    <row r="91" spans="6:19">
      <c r="I91" s="58"/>
      <c r="J91" s="20" t="s">
        <v>25</v>
      </c>
      <c r="K91" s="21">
        <f>K90-K89</f>
        <v>26.829999999999984</v>
      </c>
      <c r="M91" s="1" t="s">
        <v>36</v>
      </c>
      <c r="N91" s="1">
        <f>SUM(N86:N90)</f>
        <v>78.025999999999996</v>
      </c>
      <c r="O91" s="1">
        <f t="shared" ref="O91:Q91" si="73">SUM(O86:O90)</f>
        <v>12.998541579194441</v>
      </c>
      <c r="P91" s="1">
        <f t="shared" si="73"/>
        <v>122.03999999999998</v>
      </c>
      <c r="Q91" s="1">
        <f t="shared" si="73"/>
        <v>20.550969183029615</v>
      </c>
      <c r="R91">
        <f t="shared" si="71"/>
        <v>200.06599999999997</v>
      </c>
      <c r="S91">
        <f t="shared" si="72"/>
        <v>33.54951076222406</v>
      </c>
    </row>
    <row r="92" spans="6:19">
      <c r="I92" s="59" t="s">
        <v>7</v>
      </c>
      <c r="J92" s="12" t="s">
        <v>23</v>
      </c>
      <c r="K92" s="13">
        <f>O37</f>
        <v>116.149</v>
      </c>
    </row>
    <row r="93" spans="6:19">
      <c r="I93" s="59"/>
      <c r="J93" s="12" t="s">
        <v>24</v>
      </c>
      <c r="K93" s="13">
        <f>Q37</f>
        <v>147.60899999999998</v>
      </c>
    </row>
    <row r="94" spans="6:19">
      <c r="I94" s="59"/>
      <c r="J94" s="12" t="s">
        <v>25</v>
      </c>
      <c r="K94" s="15">
        <f>K93-K92</f>
        <v>31.45999999999998</v>
      </c>
    </row>
    <row r="95" spans="6:19">
      <c r="I95" s="14"/>
      <c r="J95" s="12"/>
    </row>
    <row r="96" spans="6:19">
      <c r="I96" s="14" t="s">
        <v>27</v>
      </c>
      <c r="J96" s="22">
        <f>(K87+K86-K86)/K86</f>
        <v>1.3109048723897909</v>
      </c>
    </row>
    <row r="97" spans="5:22">
      <c r="I97" s="14" t="s">
        <v>28</v>
      </c>
      <c r="J97" s="22">
        <f>K88/K86</f>
        <v>0.31090487238979098</v>
      </c>
    </row>
    <row r="98" spans="5:22">
      <c r="I98" s="14"/>
      <c r="J98" s="12"/>
      <c r="M98" s="1">
        <f>Q98-(N98+O98)</f>
        <v>5.5490000000000066</v>
      </c>
      <c r="N98" s="1">
        <v>91.8</v>
      </c>
      <c r="O98" s="1">
        <v>18.8</v>
      </c>
      <c r="P98" s="1">
        <v>147.61000000000001</v>
      </c>
      <c r="Q98" s="1">
        <v>116.149</v>
      </c>
      <c r="S98">
        <f>SUM(N98:Q98)</f>
        <v>374.35900000000004</v>
      </c>
      <c r="T98">
        <f>S98-N98</f>
        <v>282.55900000000003</v>
      </c>
      <c r="V98">
        <f>T98+T100</f>
        <v>468.36500000000001</v>
      </c>
    </row>
    <row r="99" spans="5:22">
      <c r="M99" s="1">
        <f t="shared" ref="M99:M101" si="74">Q99-(N99+O99)</f>
        <v>-94.447129999999987</v>
      </c>
      <c r="N99" s="1">
        <v>91.8</v>
      </c>
      <c r="O99" s="1">
        <v>18.8</v>
      </c>
      <c r="P99" s="1">
        <v>147.61000000000001</v>
      </c>
      <c r="Q99" s="1">
        <v>16.15287</v>
      </c>
      <c r="S99">
        <f t="shared" ref="S99:S101" si="75">SUM(N99:Q99)</f>
        <v>274.36287000000004</v>
      </c>
      <c r="T99">
        <f>S99-N99</f>
        <v>182.56287000000003</v>
      </c>
      <c r="V99">
        <f>T99+T101</f>
        <v>303.82351000000006</v>
      </c>
    </row>
    <row r="100" spans="5:22">
      <c r="M100" s="1">
        <f t="shared" si="74"/>
        <v>0.13599999999999568</v>
      </c>
      <c r="N100" s="1">
        <v>54.9</v>
      </c>
      <c r="O100" s="1">
        <v>16.3</v>
      </c>
      <c r="P100" s="1">
        <v>98.17</v>
      </c>
      <c r="Q100" s="1">
        <v>71.335999999999999</v>
      </c>
      <c r="S100">
        <f t="shared" si="75"/>
        <v>240.70600000000002</v>
      </c>
      <c r="T100">
        <f t="shared" ref="T100:T101" si="76">S100-N100</f>
        <v>185.80600000000001</v>
      </c>
    </row>
    <row r="101" spans="5:22">
      <c r="F101" s="52" t="s">
        <v>6</v>
      </c>
      <c r="G101" s="52"/>
      <c r="H101" s="52"/>
      <c r="I101" s="53" t="s">
        <v>7</v>
      </c>
      <c r="J101" s="53"/>
      <c r="K101" s="53"/>
      <c r="M101" s="1">
        <f t="shared" si="74"/>
        <v>-64.409360000000007</v>
      </c>
      <c r="N101" s="1">
        <v>54.9</v>
      </c>
      <c r="O101" s="1">
        <v>16.3</v>
      </c>
      <c r="P101" s="1">
        <v>98.17</v>
      </c>
      <c r="Q101" s="1">
        <v>6.7906399999999998</v>
      </c>
      <c r="S101">
        <f t="shared" si="75"/>
        <v>176.16064</v>
      </c>
      <c r="T101">
        <f t="shared" si="76"/>
        <v>121.26064</v>
      </c>
    </row>
    <row r="102" spans="5:22">
      <c r="E102" s="3" t="s">
        <v>12</v>
      </c>
      <c r="F102" s="3" t="s">
        <v>20</v>
      </c>
      <c r="G102" s="3" t="s">
        <v>16</v>
      </c>
      <c r="H102" s="3" t="s">
        <v>21</v>
      </c>
      <c r="I102" s="3" t="s">
        <v>20</v>
      </c>
      <c r="J102" s="3" t="s">
        <v>16</v>
      </c>
      <c r="K102" s="3" t="s">
        <v>21</v>
      </c>
    </row>
    <row r="103" spans="5:22">
      <c r="E103" s="2">
        <v>41364</v>
      </c>
      <c r="F103" s="1">
        <f t="shared" ref="F103:F111" si="77">K25</f>
        <v>5.8259999999999996</v>
      </c>
      <c r="G103" s="1">
        <f>K64</f>
        <v>1.6285570955505051</v>
      </c>
      <c r="H103" s="1">
        <f>C64</f>
        <v>67.461901555782944</v>
      </c>
      <c r="I103" s="1">
        <f t="shared" ref="I103:I111" si="78">P25</f>
        <v>4.2240000000000002</v>
      </c>
      <c r="J103" s="1">
        <f>Q64</f>
        <v>2.7962774894746474</v>
      </c>
      <c r="K103" s="1">
        <f>D64</f>
        <v>116.02046348458485</v>
      </c>
    </row>
    <row r="104" spans="5:22">
      <c r="E104" s="2">
        <v>41455</v>
      </c>
      <c r="F104" s="1">
        <f t="shared" si="77"/>
        <v>6.9710000000000001</v>
      </c>
      <c r="G104" s="1">
        <f t="shared" ref="G104:G111" si="79">K65</f>
        <v>1.5019403129528115</v>
      </c>
      <c r="H104" s="1">
        <f t="shared" ref="H104:H111" si="80">C65</f>
        <v>61.992841868735759</v>
      </c>
      <c r="I104" s="1">
        <f t="shared" si="78"/>
        <v>59.368000000000002</v>
      </c>
      <c r="J104" s="1">
        <f t="shared" ref="J104:J111" si="81">Q65</f>
        <v>1.4322331550858109</v>
      </c>
      <c r="K104" s="1">
        <f t="shared" ref="K104:K111" si="82">D65</f>
        <v>63.686258386609097</v>
      </c>
    </row>
    <row r="105" spans="5:22">
      <c r="E105" s="2">
        <v>41547</v>
      </c>
      <c r="F105" s="1">
        <f t="shared" si="77"/>
        <v>4.3570000000000002</v>
      </c>
      <c r="G105" s="1">
        <f t="shared" si="79"/>
        <v>1.4383567136218574</v>
      </c>
      <c r="H105" s="1">
        <f t="shared" si="80"/>
        <v>59.074198582357617</v>
      </c>
      <c r="I105" s="1">
        <f t="shared" si="78"/>
        <v>10.243</v>
      </c>
      <c r="J105" s="1">
        <f t="shared" si="81"/>
        <v>1.2527737969703381</v>
      </c>
      <c r="K105" s="1">
        <f t="shared" si="82"/>
        <v>54.69603218357944</v>
      </c>
    </row>
    <row r="106" spans="5:22">
      <c r="E106" s="2">
        <v>41639</v>
      </c>
      <c r="F106" s="1">
        <f t="shared" si="77"/>
        <v>30.436</v>
      </c>
      <c r="G106" s="1">
        <f t="shared" si="79"/>
        <v>0.74591221665766128</v>
      </c>
      <c r="H106" s="1">
        <f t="shared" si="80"/>
        <v>29.384110799015271</v>
      </c>
      <c r="I106" s="1">
        <f t="shared" si="78"/>
        <v>8.6170000000000009</v>
      </c>
      <c r="J106" s="1">
        <f t="shared" si="81"/>
        <v>1.1125232973061685</v>
      </c>
      <c r="K106" s="1">
        <f t="shared" si="82"/>
        <v>41.589993733947153</v>
      </c>
    </row>
    <row r="107" spans="5:22">
      <c r="E107" s="2">
        <v>41729</v>
      </c>
      <c r="F107" s="1">
        <f t="shared" si="77"/>
        <v>10.435</v>
      </c>
      <c r="G107" s="1">
        <f t="shared" si="79"/>
        <v>0.5357656150714547</v>
      </c>
      <c r="H107" s="1">
        <f t="shared" si="80"/>
        <v>19.484876414086724</v>
      </c>
      <c r="I107" s="1">
        <f t="shared" si="78"/>
        <v>7.1909999999999998</v>
      </c>
      <c r="J107" s="1">
        <f t="shared" si="81"/>
        <v>1.0066589182764218</v>
      </c>
      <c r="K107" s="1">
        <f t="shared" si="82"/>
        <v>35.40565265222358</v>
      </c>
    </row>
    <row r="108" spans="5:22">
      <c r="E108" s="2">
        <v>41820</v>
      </c>
      <c r="F108" s="1">
        <f t="shared" si="77"/>
        <v>4.4989999999999997</v>
      </c>
      <c r="G108" s="1">
        <f t="shared" si="79"/>
        <v>0.4687578718905101</v>
      </c>
      <c r="H108" s="1">
        <f t="shared" si="80"/>
        <v>15.454634285977239</v>
      </c>
      <c r="I108" s="1">
        <f t="shared" si="78"/>
        <v>5.6920000000000002</v>
      </c>
      <c r="J108" s="1">
        <f t="shared" si="81"/>
        <v>0.93694095918426257</v>
      </c>
      <c r="K108" s="1">
        <f t="shared" si="82"/>
        <v>30.650593611407842</v>
      </c>
    </row>
    <row r="109" spans="5:22">
      <c r="E109" s="2">
        <v>41912</v>
      </c>
      <c r="F109" s="1">
        <f t="shared" si="77"/>
        <v>1.89</v>
      </c>
      <c r="G109" s="1">
        <f t="shared" si="79"/>
        <v>0.46466274353088366</v>
      </c>
      <c r="H109" s="1">
        <f t="shared" si="80"/>
        <v>14.029297029508122</v>
      </c>
      <c r="I109" s="1">
        <f t="shared" si="78"/>
        <v>3.7120000000000002</v>
      </c>
      <c r="J109" s="1">
        <f t="shared" si="81"/>
        <v>0.91496810447929988</v>
      </c>
      <c r="K109" s="1">
        <f t="shared" si="82"/>
        <v>27.853561715887153</v>
      </c>
    </row>
    <row r="110" spans="5:22">
      <c r="E110" s="2">
        <v>42004</v>
      </c>
      <c r="F110" s="1">
        <f t="shared" si="77"/>
        <v>2.786</v>
      </c>
      <c r="G110" s="1">
        <f t="shared" si="79"/>
        <v>0.43896174975159497</v>
      </c>
      <c r="H110" s="1">
        <f t="shared" si="80"/>
        <v>11.682258779259715</v>
      </c>
      <c r="I110" s="1">
        <f t="shared" si="78"/>
        <v>3.9990000000000001</v>
      </c>
      <c r="J110" s="1">
        <f t="shared" si="81"/>
        <v>0.88607462100709711</v>
      </c>
      <c r="K110" s="1">
        <f t="shared" si="82"/>
        <v>24.740636336894255</v>
      </c>
    </row>
    <row r="111" spans="5:22">
      <c r="E111" s="2">
        <v>42100</v>
      </c>
      <c r="F111" s="1">
        <f t="shared" si="77"/>
        <v>0.85099999999999998</v>
      </c>
      <c r="G111" s="1">
        <f t="shared" si="79"/>
        <v>0.45992074435070762</v>
      </c>
      <c r="H111" s="1">
        <f t="shared" si="80"/>
        <v>11.291179523610424</v>
      </c>
      <c r="I111" s="1">
        <f t="shared" si="78"/>
        <v>1.92</v>
      </c>
      <c r="J111" s="1">
        <f t="shared" si="81"/>
        <v>0.90731349714145892</v>
      </c>
      <c r="K111" s="1">
        <f t="shared" si="82"/>
        <v>23.727949834035726</v>
      </c>
    </row>
  </sheetData>
  <mergeCells count="16">
    <mergeCell ref="N84:O84"/>
    <mergeCell ref="P84:Q84"/>
    <mergeCell ref="F101:H101"/>
    <mergeCell ref="I101:K101"/>
    <mergeCell ref="I86:I88"/>
    <mergeCell ref="I89:I91"/>
    <mergeCell ref="I92:I94"/>
    <mergeCell ref="X42:Z42"/>
    <mergeCell ref="AA42:AC42"/>
    <mergeCell ref="AD42:AF42"/>
    <mergeCell ref="C60:D60"/>
    <mergeCell ref="H5:L5"/>
    <mergeCell ref="M5:Q5"/>
    <mergeCell ref="F43:K43"/>
    <mergeCell ref="L43:Q43"/>
    <mergeCell ref="V5:W5"/>
  </mergeCells>
  <pageMargins left="0.75" right="0.75" top="1" bottom="1" header="0.5" footer="0.5"/>
  <pageSetup orientation="portrait" horizontalDpi="4294967292" verticalDpi="4294967292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4" tint="-0.499984740745262"/>
          <x14:colorNegative rgb="FFC0504D"/>
          <x14:colorAxis rgb="FF000000"/>
          <x14:colorMarkers rgb="FF244062"/>
          <x14:colorFirst rgb="FF95B3D7"/>
          <x14:colorLast rgb="FF95B3D7"/>
          <x14:colorHigh rgb="FF4F81BD"/>
          <x14:colorLow rgb="FF4F81BD"/>
          <x14:sparklines>
            <x14:sparkline>
              <xm:f>Sheet1!F7:F7</xm:f>
              <xm:sqref>J7</xm:sqref>
            </x14:sparkline>
            <x14:sparkline>
              <xm:f>Sheet1!F8:F8</xm:f>
              <xm:sqref>J8</xm:sqref>
            </x14:sparkline>
            <x14:sparkline>
              <xm:f>Sheet1!F9:F9</xm:f>
              <xm:sqref>J9</xm:sqref>
            </x14:sparkline>
            <x14:sparkline>
              <xm:f>Sheet1!F10:F10</xm:f>
              <xm:sqref>J10</xm:sqref>
            </x14:sparkline>
            <x14:sparkline>
              <xm:f>Sheet1!F11:F11</xm:f>
              <xm:sqref>J11</xm:sqref>
            </x14:sparkline>
            <x14:sparkline>
              <xm:f>Sheet1!F12:F12</xm:f>
              <xm:sqref>J12</xm:sqref>
            </x14:sparkline>
            <x14:sparkline>
              <xm:f>Sheet1!F13:F13</xm:f>
              <xm:sqref>J13</xm:sqref>
            </x14:sparkline>
            <x14:sparkline>
              <xm:f>Sheet1!F14:F14</xm:f>
              <xm:sqref>J14</xm:sqref>
            </x14:sparkline>
            <x14:sparkline>
              <xm:f>Sheet1!F15:F15</xm:f>
              <xm:sqref>J15</xm:sqref>
            </x14:sparkline>
            <x14:sparkline>
              <xm:f>Sheet1!F16:F16</xm:f>
              <xm:sqref>J16</xm:sqref>
            </x14:sparkline>
            <x14:sparkline>
              <xm:f>Sheet1!F17:F17</xm:f>
              <xm:sqref>J17</xm:sqref>
            </x14:sparkline>
            <x14:sparkline>
              <xm:f>Sheet1!F18:F18</xm:f>
              <xm:sqref>J18</xm:sqref>
            </x14:sparkline>
            <x14:sparkline>
              <xm:f>Sheet1!F19:F19</xm:f>
              <xm:sqref>J19</xm:sqref>
            </x14:sparkline>
            <x14:sparkline>
              <xm:f>Sheet1!F20:F20</xm:f>
              <xm:sqref>J20</xm:sqref>
            </x14:sparkline>
            <x14:sparkline>
              <xm:f>Sheet1!F21:F21</xm:f>
              <xm:sqref>J21</xm:sqref>
            </x14:sparkline>
            <x14:sparkline>
              <xm:f>Sheet1!F22:F22</xm:f>
              <xm:sqref>J22</xm:sqref>
            </x14:sparkline>
            <x14:sparkline>
              <xm:f>Sheet1!F23:F23</xm:f>
              <xm:sqref>J23</xm:sqref>
            </x14:sparkline>
            <x14:sparkline>
              <xm:f>Sheet1!F24:F24</xm:f>
              <xm:sqref>J24</xm:sqref>
            </x14:sparkline>
            <x14:sparkline>
              <xm:f>Sheet1!F25:F25</xm:f>
              <xm:sqref>J25</xm:sqref>
            </x14:sparkline>
            <x14:sparkline>
              <xm:f>Sheet1!F26:F26</xm:f>
              <xm:sqref>J26</xm:sqref>
            </x14:sparkline>
            <x14:sparkline>
              <xm:f>Sheet1!F27:F27</xm:f>
              <xm:sqref>J27</xm:sqref>
            </x14:sparkline>
            <x14:sparkline>
              <xm:f>Sheet1!F28:F28</xm:f>
              <xm:sqref>J28</xm:sqref>
            </x14:sparkline>
            <x14:sparkline>
              <xm:f>Sheet1!F29:F29</xm:f>
              <xm:sqref>J29</xm:sqref>
            </x14:sparkline>
            <x14:sparkline>
              <xm:f>Sheet1!F30:F30</xm:f>
              <xm:sqref>J30</xm:sqref>
            </x14:sparkline>
            <x14:sparkline>
              <xm:f>Sheet1!F31:F31</xm:f>
              <xm:sqref>J31</xm:sqref>
            </x14:sparkline>
            <x14:sparkline>
              <xm:f>Sheet1!F32:F32</xm:f>
              <xm:sqref>J32</xm:sqref>
            </x14:sparkline>
            <x14:sparkline>
              <xm:f>Sheet1!F33:F33</xm:f>
              <xm:sqref>J33</xm:sqref>
            </x14:sparkline>
            <x14:sparkline>
              <xm:f>Sheet1!F34:F34</xm:f>
              <xm:sqref>J34</xm:sqref>
            </x14:sparkline>
            <x14:sparkline>
              <xm:f>Sheet1!F35:F35</xm:f>
              <xm:sqref>J35</xm:sqref>
            </x14:sparkline>
            <x14:sparkline>
              <xm:f>Sheet1!F36:F36</xm:f>
              <xm:sqref>J36</xm:sqref>
            </x14:sparkline>
            <x14:sparkline>
              <xm:f>Sheet1!F37:F37</xm:f>
              <xm:sqref>J37</xm:sqref>
            </x14:sparkline>
            <x14:sparkline>
              <xm:f>Sheet1!F38:F38</xm:f>
              <xm:sqref>J38</xm:sqref>
            </x14:sparkline>
            <x14:sparkline>
              <xm:f>Sheet1!F39:F39</xm:f>
              <xm:sqref>J39</xm:sqref>
            </x14:sparkline>
          </x14:sparklines>
        </x14:sparklineGroup>
      </x14:sparklineGroup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Dayton Research Institute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Cain</dc:creator>
  <cp:lastModifiedBy>Jeremy Cain</cp:lastModifiedBy>
  <dcterms:created xsi:type="dcterms:W3CDTF">2014-04-20T23:02:54Z</dcterms:created>
  <dcterms:modified xsi:type="dcterms:W3CDTF">2016-06-10T01:59:24Z</dcterms:modified>
</cp:coreProperties>
</file>